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525" windowWidth="15480" windowHeight="11505"/>
  </bookViews>
  <sheets>
    <sheet name="ІІІ кв_2016" sheetId="2" r:id="rId1"/>
  </sheets>
  <definedNames>
    <definedName name="_xlnm.Print_Titles" localSheetId="0">'ІІІ кв_2016'!$13:$18</definedName>
    <definedName name="_xlnm.Print_Area" localSheetId="0">'ІІІ кв_2016'!$A$1:$P$225</definedName>
  </definedNames>
  <calcPr calcId="125725"/>
</workbook>
</file>

<file path=xl/calcChain.xml><?xml version="1.0" encoding="utf-8"?>
<calcChain xmlns="http://schemas.openxmlformats.org/spreadsheetml/2006/main">
  <c r="G61" i="2"/>
  <c r="N161"/>
  <c r="M171"/>
  <c r="N171"/>
  <c r="N158"/>
  <c r="N159"/>
  <c r="N157"/>
  <c r="M157"/>
  <c r="L157"/>
  <c r="N146"/>
  <c r="M146"/>
  <c r="L146"/>
  <c r="L127"/>
  <c r="L126"/>
  <c r="L129"/>
  <c r="N83"/>
  <c r="M83"/>
  <c r="L83"/>
  <c r="L118"/>
  <c r="M65"/>
  <c r="N78"/>
  <c r="N71"/>
  <c r="N75"/>
  <c r="N73"/>
  <c r="N74"/>
  <c r="N77"/>
  <c r="N76"/>
  <c r="N65"/>
  <c r="L66"/>
  <c r="L65"/>
  <c r="L173"/>
  <c r="L174"/>
  <c r="M173"/>
  <c r="N173"/>
  <c r="M170"/>
  <c r="N169"/>
  <c r="M169"/>
  <c r="L169"/>
  <c r="L167"/>
  <c r="M167"/>
  <c r="N167"/>
  <c r="N155"/>
  <c r="M133"/>
  <c r="N148"/>
  <c r="M148"/>
  <c r="L148"/>
  <c r="N147"/>
  <c r="M147"/>
  <c r="L147"/>
  <c r="L136"/>
  <c r="N172"/>
  <c r="M145" l="1"/>
  <c r="N145"/>
  <c r="M144"/>
  <c r="N144"/>
  <c r="N70"/>
  <c r="N69"/>
  <c r="L56"/>
  <c r="O33" l="1"/>
  <c r="D133" l="1"/>
  <c r="I133"/>
  <c r="E133" s="1"/>
  <c r="I93" l="1"/>
  <c r="D84"/>
  <c r="I84"/>
  <c r="I83"/>
  <c r="K84"/>
  <c r="K83"/>
  <c r="G129"/>
  <c r="G84"/>
  <c r="E84" s="1"/>
  <c r="G83"/>
  <c r="G19"/>
  <c r="E93" l="1"/>
  <c r="D93"/>
  <c r="O167"/>
  <c r="O166"/>
  <c r="O153"/>
  <c r="P160"/>
  <c r="M178"/>
  <c r="M162"/>
  <c r="N162"/>
  <c r="N156"/>
  <c r="M114"/>
  <c r="N114"/>
  <c r="M113"/>
  <c r="N113"/>
  <c r="M115"/>
  <c r="N115"/>
  <c r="M112"/>
  <c r="N112"/>
  <c r="M111"/>
  <c r="N111"/>
  <c r="M110"/>
  <c r="N110"/>
  <c r="M109"/>
  <c r="N109"/>
  <c r="M108"/>
  <c r="N108"/>
  <c r="M107"/>
  <c r="N107"/>
  <c r="M106"/>
  <c r="N106"/>
  <c r="M105"/>
  <c r="N105"/>
  <c r="M104"/>
  <c r="N104"/>
  <c r="M103"/>
  <c r="N103"/>
  <c r="M102"/>
  <c r="N102"/>
  <c r="M101"/>
  <c r="N101"/>
  <c r="M100"/>
  <c r="N100"/>
  <c r="M99"/>
  <c r="N99"/>
  <c r="M98"/>
  <c r="N98"/>
  <c r="N97"/>
  <c r="M97"/>
  <c r="L123"/>
  <c r="M123"/>
  <c r="N123"/>
  <c r="M116"/>
  <c r="N116"/>
  <c r="M96"/>
  <c r="N96"/>
  <c r="M95"/>
  <c r="N95"/>
  <c r="M94"/>
  <c r="N94"/>
  <c r="M93"/>
  <c r="N93"/>
  <c r="L81"/>
  <c r="N81"/>
  <c r="N80"/>
  <c r="N72" l="1"/>
  <c r="N170"/>
  <c r="N176"/>
  <c r="N175"/>
  <c r="M175"/>
  <c r="L175"/>
  <c r="N168"/>
  <c r="M168"/>
  <c r="L168"/>
  <c r="N165"/>
  <c r="M165"/>
  <c r="L165"/>
  <c r="M154"/>
  <c r="N154"/>
  <c r="N164"/>
  <c r="L164"/>
  <c r="N79"/>
  <c r="N160"/>
  <c r="M177"/>
  <c r="N177"/>
  <c r="N174"/>
  <c r="M174"/>
  <c r="N90"/>
  <c r="M163"/>
  <c r="M128" l="1"/>
  <c r="N128"/>
  <c r="N127"/>
  <c r="M127"/>
  <c r="L128"/>
  <c r="N126"/>
  <c r="M126"/>
  <c r="N124"/>
  <c r="N130"/>
  <c r="M130"/>
  <c r="L130"/>
  <c r="N135"/>
  <c r="M135"/>
  <c r="L135"/>
  <c r="N134"/>
  <c r="M134"/>
  <c r="L134"/>
  <c r="N122"/>
  <c r="M122"/>
  <c r="L122"/>
  <c r="N136"/>
  <c r="M136"/>
  <c r="L121"/>
  <c r="N121"/>
  <c r="M121"/>
  <c r="M120" l="1"/>
  <c r="N120"/>
  <c r="M119"/>
  <c r="N119"/>
  <c r="D125"/>
  <c r="I125"/>
  <c r="I124"/>
  <c r="D91"/>
  <c r="I92"/>
  <c r="I91"/>
  <c r="K125"/>
  <c r="K118"/>
  <c r="K92"/>
  <c r="K91"/>
  <c r="D92"/>
  <c r="E92" l="1"/>
  <c r="E91"/>
  <c r="G127"/>
  <c r="E127" s="1"/>
  <c r="G126"/>
  <c r="E126" s="1"/>
  <c r="G125"/>
  <c r="E125" s="1"/>
  <c r="D127"/>
  <c r="D126"/>
  <c r="G124"/>
  <c r="E124" s="1"/>
  <c r="D124"/>
  <c r="G122"/>
  <c r="E122" s="1"/>
  <c r="D122"/>
  <c r="G121"/>
  <c r="E121" s="1"/>
  <c r="D121"/>
  <c r="G120"/>
  <c r="E120" s="1"/>
  <c r="G119"/>
  <c r="E119" s="1"/>
  <c r="D120"/>
  <c r="D119"/>
  <c r="G118" l="1"/>
  <c r="D61" l="1"/>
  <c r="D203" l="1"/>
  <c r="G203"/>
  <c r="E203" s="1"/>
  <c r="K61" l="1"/>
  <c r="E61" s="1"/>
  <c r="E58"/>
  <c r="E32"/>
  <c r="L218"/>
  <c r="M218"/>
  <c r="O179"/>
  <c r="O169"/>
  <c r="O152" l="1"/>
  <c r="O149"/>
  <c r="E212" l="1"/>
  <c r="O54"/>
  <c r="O200"/>
  <c r="O47"/>
  <c r="E196"/>
  <c r="E195"/>
  <c r="D132"/>
  <c r="E63"/>
  <c r="E50"/>
  <c r="E45"/>
  <c r="E38"/>
  <c r="D216"/>
  <c r="D208"/>
  <c r="D207"/>
  <c r="D206"/>
  <c r="D205"/>
  <c r="D202"/>
  <c r="D201"/>
  <c r="D200"/>
  <c r="D197"/>
  <c r="D193"/>
  <c r="D190"/>
  <c r="D189"/>
  <c r="D188"/>
  <c r="D187"/>
  <c r="D185"/>
  <c r="D183"/>
  <c r="D182"/>
  <c r="D179"/>
  <c r="D169"/>
  <c r="D166"/>
  <c r="D131"/>
  <c r="D129"/>
  <c r="D117"/>
  <c r="D89"/>
  <c r="D88"/>
  <c r="D87"/>
  <c r="D85"/>
  <c r="D83"/>
  <c r="D82"/>
  <c r="D60"/>
  <c r="D56"/>
  <c r="D57"/>
  <c r="D55"/>
  <c r="D54"/>
  <c r="D53"/>
  <c r="D48"/>
  <c r="D46"/>
  <c r="D43"/>
  <c r="D42"/>
  <c r="D40"/>
  <c r="D39"/>
  <c r="D59"/>
  <c r="D36"/>
  <c r="D35"/>
  <c r="D62"/>
  <c r="D192"/>
  <c r="D64"/>
  <c r="D37"/>
  <c r="D49"/>
  <c r="D199"/>
  <c r="O34"/>
  <c r="D34"/>
  <c r="D33"/>
  <c r="D30"/>
  <c r="D191"/>
  <c r="D184"/>
  <c r="D186"/>
  <c r="N180" l="1"/>
  <c r="D31" l="1"/>
  <c r="D51"/>
  <c r="L180"/>
  <c r="L219" s="1"/>
  <c r="D23" l="1"/>
  <c r="D19"/>
  <c r="P218"/>
  <c r="N218"/>
  <c r="P180"/>
  <c r="N219"/>
  <c r="M180"/>
  <c r="M219" s="1"/>
  <c r="D217"/>
  <c r="D210"/>
  <c r="D209"/>
  <c r="D204"/>
  <c r="K129"/>
  <c r="K56"/>
  <c r="D41"/>
  <c r="K41"/>
  <c r="E41" s="1"/>
  <c r="P219" l="1"/>
  <c r="D47"/>
  <c r="K47"/>
  <c r="K34"/>
  <c r="K33"/>
  <c r="K30"/>
  <c r="K200"/>
  <c r="K198"/>
  <c r="K169"/>
  <c r="K132"/>
  <c r="K131"/>
  <c r="K117"/>
  <c r="K82"/>
  <c r="K208"/>
  <c r="K207"/>
  <c r="I169"/>
  <c r="I166"/>
  <c r="E166" s="1"/>
  <c r="E169" l="1"/>
  <c r="D198"/>
  <c r="K218"/>
  <c r="K180"/>
  <c r="I132"/>
  <c r="I131"/>
  <c r="I87"/>
  <c r="I86"/>
  <c r="I88"/>
  <c r="I89"/>
  <c r="E89" s="1"/>
  <c r="K219" l="1"/>
  <c r="D118"/>
  <c r="I118"/>
  <c r="E118" s="1"/>
  <c r="I129"/>
  <c r="I117"/>
  <c r="I82"/>
  <c r="I208"/>
  <c r="I207"/>
  <c r="I206"/>
  <c r="I205"/>
  <c r="D86"/>
  <c r="G208"/>
  <c r="G207"/>
  <c r="G206"/>
  <c r="E206" l="1"/>
  <c r="E208"/>
  <c r="I218"/>
  <c r="I180"/>
  <c r="I219" s="1"/>
  <c r="E205"/>
  <c r="E207"/>
  <c r="G179"/>
  <c r="E179" s="1"/>
  <c r="G132"/>
  <c r="E132" s="1"/>
  <c r="G131"/>
  <c r="E131" s="1"/>
  <c r="E129"/>
  <c r="G117"/>
  <c r="E117" s="1"/>
  <c r="G88"/>
  <c r="E88" s="1"/>
  <c r="G87"/>
  <c r="E87" s="1"/>
  <c r="G86"/>
  <c r="E86" s="1"/>
  <c r="G85"/>
  <c r="E85" s="1"/>
  <c r="E83"/>
  <c r="G82"/>
  <c r="E82" s="1"/>
  <c r="G204"/>
  <c r="E204" s="1"/>
  <c r="G202"/>
  <c r="E202" s="1"/>
  <c r="G201"/>
  <c r="E201" s="1"/>
  <c r="G200"/>
  <c r="E200" s="1"/>
  <c r="G199"/>
  <c r="E199" s="1"/>
  <c r="G198"/>
  <c r="E198" s="1"/>
  <c r="G197"/>
  <c r="E197" s="1"/>
  <c r="G193"/>
  <c r="E193" s="1"/>
  <c r="G192"/>
  <c r="E192" s="1"/>
  <c r="G191"/>
  <c r="E191" s="1"/>
  <c r="G190"/>
  <c r="E190" s="1"/>
  <c r="G189"/>
  <c r="E189" s="1"/>
  <c r="G188"/>
  <c r="E188" s="1"/>
  <c r="G187"/>
  <c r="E187" s="1"/>
  <c r="G186"/>
  <c r="E186" s="1"/>
  <c r="G216"/>
  <c r="E216" s="1"/>
  <c r="G210"/>
  <c r="E210" s="1"/>
  <c r="G185"/>
  <c r="E185" s="1"/>
  <c r="G184"/>
  <c r="E184" s="1"/>
  <c r="G217"/>
  <c r="E217" s="1"/>
  <c r="G183"/>
  <c r="E183" s="1"/>
  <c r="G209"/>
  <c r="E209" s="1"/>
  <c r="G182"/>
  <c r="G64"/>
  <c r="E64" s="1"/>
  <c r="G62"/>
  <c r="E62" s="1"/>
  <c r="G60"/>
  <c r="E60" s="1"/>
  <c r="G59"/>
  <c r="E59" s="1"/>
  <c r="G57"/>
  <c r="E57" s="1"/>
  <c r="G56"/>
  <c r="E56" s="1"/>
  <c r="G55"/>
  <c r="E55" s="1"/>
  <c r="G54"/>
  <c r="E54" s="1"/>
  <c r="G51"/>
  <c r="E51" s="1"/>
  <c r="G49"/>
  <c r="E49" s="1"/>
  <c r="G47"/>
  <c r="E47" s="1"/>
  <c r="G48"/>
  <c r="E48" s="1"/>
  <c r="G46"/>
  <c r="E46" s="1"/>
  <c r="G43"/>
  <c r="E43" s="1"/>
  <c r="G42"/>
  <c r="E42" s="1"/>
  <c r="G40"/>
  <c r="E40" s="1"/>
  <c r="E182" l="1"/>
  <c r="G218"/>
  <c r="E218"/>
  <c r="G39"/>
  <c r="E39" s="1"/>
  <c r="G37"/>
  <c r="E37" s="1"/>
  <c r="G36"/>
  <c r="E36" s="1"/>
  <c r="G35"/>
  <c r="E35" s="1"/>
  <c r="G34"/>
  <c r="E34" s="1"/>
  <c r="G33"/>
  <c r="E33" s="1"/>
  <c r="G31"/>
  <c r="E31" s="1"/>
  <c r="G30"/>
  <c r="E30" s="1"/>
  <c r="G26"/>
  <c r="E26" s="1"/>
  <c r="G25"/>
  <c r="E25" s="1"/>
  <c r="D26"/>
  <c r="D25"/>
  <c r="G22"/>
  <c r="E22" s="1"/>
  <c r="D22"/>
  <c r="G21"/>
  <c r="E21" s="1"/>
  <c r="D21"/>
  <c r="G20"/>
  <c r="D20"/>
  <c r="G23"/>
  <c r="E23" s="1"/>
  <c r="G53"/>
  <c r="E53" s="1"/>
  <c r="G24"/>
  <c r="E24" s="1"/>
  <c r="E19" l="1"/>
  <c r="G180"/>
  <c r="E223" s="1"/>
  <c r="E20"/>
  <c r="E180" s="1"/>
  <c r="D24"/>
  <c r="F223" l="1"/>
  <c r="G219"/>
  <c r="E224" s="1"/>
  <c r="E219"/>
  <c r="T222" l="1"/>
  <c r="E225"/>
</calcChain>
</file>

<file path=xl/comments1.xml><?xml version="1.0" encoding="utf-8"?>
<comments xmlns="http://schemas.openxmlformats.org/spreadsheetml/2006/main">
  <authors>
    <author>2800-denisyukI</author>
  </authors>
  <commentList>
    <comment ref="O165" authorId="0">
      <text>
        <r>
          <rPr>
            <b/>
            <sz val="8"/>
            <color indexed="81"/>
            <rFont val="Tahoma"/>
            <family val="2"/>
            <charset val="204"/>
          </rPr>
          <t>2800-denisyukI:</t>
        </r>
        <r>
          <rPr>
            <sz val="8"/>
            <color indexed="81"/>
            <rFont val="Tahoma"/>
            <family val="2"/>
            <charset val="204"/>
          </rPr>
          <t xml:space="preserve">
пеня нараховується МФУ у євро</t>
        </r>
      </text>
    </comment>
  </commentList>
</comments>
</file>

<file path=xl/sharedStrings.xml><?xml version="1.0" encoding="utf-8"?>
<sst xmlns="http://schemas.openxmlformats.org/spreadsheetml/2006/main" count="448" uniqueCount="236">
  <si>
    <t xml:space="preserve">Звіт про прострочену заборгованість суб'єктів господарювання перед державою за кредитами (позиками), залученими під державні гарантії </t>
  </si>
  <si>
    <t xml:space="preserve">Одиниця виміру: грн коп </t>
  </si>
  <si>
    <t>№ з/п</t>
  </si>
  <si>
    <t>Назва суб'єкта господарювання</t>
  </si>
  <si>
    <t>Код валюти</t>
  </si>
  <si>
    <t>Сума простроченої заборгованості перед державою за кредитами, разом</t>
  </si>
  <si>
    <t xml:space="preserve">у тому числі, сума простроченої заборгованості перед державою: </t>
  </si>
  <si>
    <t>Усього:</t>
  </si>
  <si>
    <t>х</t>
  </si>
  <si>
    <t>Заборгованість суб'єктів господарювання, стосовно яких проведено державну реєстрацію припинення юридичної особи в результаті її ліквідації:</t>
  </si>
  <si>
    <t>Разом:</t>
  </si>
  <si>
    <t xml:space="preserve">в іноземній валюті                 </t>
  </si>
  <si>
    <t xml:space="preserve">у національній валюті </t>
  </si>
  <si>
    <t>Надходження коштів до державного бюджету у рахунок погашення заборгованості у національній валюті</t>
  </si>
  <si>
    <t xml:space="preserve">з плати за користування кредитами (позиками)                                                             </t>
  </si>
  <si>
    <t xml:space="preserve">з плати за надання державних гарантій та кредитів (позик)                                                                    </t>
  </si>
  <si>
    <t>Сума заборгованості за пенею, нарахованою на прострочену заборгованість суб'єктів господарювання у національній валюті</t>
  </si>
  <si>
    <t xml:space="preserve"> з погашення кредитів (позик)                              (відшкодування витрат державного бюджету)</t>
  </si>
  <si>
    <t>ЗАТВЕРДЖЕНО</t>
  </si>
  <si>
    <t>Наказ Міністерства фінансів України</t>
  </si>
  <si>
    <t>від 28.12.2011 № 1774</t>
  </si>
  <si>
    <t>Періодичність: квартальна</t>
  </si>
  <si>
    <t>ВАТ "Макіївський металургійний комбінат"</t>
  </si>
  <si>
    <t>EUR</t>
  </si>
  <si>
    <r>
      <t xml:space="preserve">Луганська обласна державна адміністрація 
</t>
    </r>
    <r>
      <rPr>
        <i/>
        <sz val="10"/>
        <rFont val="Times New Roman"/>
        <family val="1"/>
        <charset val="204"/>
      </rPr>
      <t>(солідарна відповідальність з ВАТ "Луганський облагротехсервіс")</t>
    </r>
  </si>
  <si>
    <t xml:space="preserve">ХК "Реле та автоматика" </t>
  </si>
  <si>
    <t>УО "Укрфармація"</t>
  </si>
  <si>
    <t>Державна служба лікарських засобів і виробів медичного призначення</t>
  </si>
  <si>
    <t>УЗТФ "Біомед"</t>
  </si>
  <si>
    <t xml:space="preserve">ДАК "Хліб України" </t>
  </si>
  <si>
    <t>USD</t>
  </si>
  <si>
    <t>ДП "Агентство з реструктуризації заборгованості підприємств агропромислового комплексу"</t>
  </si>
  <si>
    <t>ВАТ "Оріана"</t>
  </si>
  <si>
    <t>ВАТ "Текстерно"</t>
  </si>
  <si>
    <t>ВАТ "Херсонський бавовняний комбінат"</t>
  </si>
  <si>
    <t>ВАТ "ЗАлК"</t>
  </si>
  <si>
    <t>АТ "Чексіл"</t>
  </si>
  <si>
    <t>Національна телекомпанія України</t>
  </si>
  <si>
    <t>JPY</t>
  </si>
  <si>
    <t>АХК "Укрнафтопродукт"</t>
  </si>
  <si>
    <t>UAH</t>
  </si>
  <si>
    <t>ВАТ "Харківський тракторний завод"</t>
  </si>
  <si>
    <t>Корпорація "Украгропромбіржа"</t>
  </si>
  <si>
    <t>Асоціація "Земля і люди"</t>
  </si>
  <si>
    <t>Українська аграрна біржа</t>
  </si>
  <si>
    <t>Українська аграрна біржа (реструктуризована заборгованість)</t>
  </si>
  <si>
    <t>Концерн "Украгротехсервіс"</t>
  </si>
  <si>
    <r>
      <t>Житомирська обласна державна адміністрація 
(</t>
    </r>
    <r>
      <rPr>
        <i/>
        <sz val="10"/>
        <rFont val="Times New Roman"/>
        <family val="1"/>
        <charset val="204"/>
      </rPr>
      <t>солідарна відповідальність з ВАТ "Агромашсервіскомплект"</t>
    </r>
    <r>
      <rPr>
        <sz val="10"/>
        <rFont val="Times New Roman"/>
        <family val="1"/>
        <charset val="204"/>
      </rPr>
      <t>)</t>
    </r>
  </si>
  <si>
    <t>Агрофірма "Зоря"</t>
  </si>
  <si>
    <t>НВДАФ "Наукова"</t>
  </si>
  <si>
    <t>ТОВ "Кріогенні технології"</t>
  </si>
  <si>
    <t>ВАТ "Кіцманське РТП" с/г техн. (Південмаш)</t>
  </si>
  <si>
    <t>Державне агантство резерву України</t>
  </si>
  <si>
    <t>Київський авіаційний завод "Авіант" (ДП "Антонов")</t>
  </si>
  <si>
    <t>Харківське державне авіаційне виробниче підприємство</t>
  </si>
  <si>
    <t>ВАТ "Лисичанськвугілля"</t>
  </si>
  <si>
    <t>ДП "ДБУНП "Повітряний експрес"</t>
  </si>
  <si>
    <t>ЗАТ "Ворскла"</t>
  </si>
  <si>
    <r>
      <t xml:space="preserve">ЛМКП "Львівводоканал" 
</t>
    </r>
    <r>
      <rPr>
        <i/>
        <sz val="10"/>
        <rFont val="Times New Roman"/>
        <family val="1"/>
        <charset val="204"/>
      </rPr>
      <t>(солідарна відповідальність з Львівською міською радою)</t>
    </r>
  </si>
  <si>
    <t>КП "Водопостачання м. Вознесенська"</t>
  </si>
  <si>
    <r>
      <t xml:space="preserve">ПАТ КП "Кредитпромбанк" </t>
    </r>
    <r>
      <rPr>
        <i/>
        <sz val="9"/>
        <rFont val="Times New Roman"/>
        <family val="1"/>
        <charset val="204"/>
      </rPr>
      <t>(Угода від 22.06.2007 № 28000-04/98)</t>
    </r>
  </si>
  <si>
    <r>
      <t xml:space="preserve">Первомайська міська рада </t>
    </r>
    <r>
      <rPr>
        <i/>
        <sz val="9"/>
        <color indexed="8"/>
        <rFont val="Times New Roman"/>
        <family val="1"/>
        <charset val="204"/>
      </rPr>
      <t>(Угода від 18.08.2008 № 28020-02/115)</t>
    </r>
  </si>
  <si>
    <t>АТ "Стальметиз"</t>
  </si>
  <si>
    <t xml:space="preserve">АТ "Епос - Холдінг" </t>
  </si>
  <si>
    <t>ЗАТ “Сумикамволь”</t>
  </si>
  <si>
    <t>КП "Фірма Маріам - А"</t>
  </si>
  <si>
    <t>ПФ "Софія Київська"</t>
  </si>
  <si>
    <t>СП "Ратай"</t>
  </si>
  <si>
    <t>Фірма “Атон”, Транснаціональна корпорація "Атон"</t>
  </si>
  <si>
    <t>Агрофірма "Славутич"</t>
  </si>
  <si>
    <t>ТОВ "Харківська Регіональна Лізінгова компанія"  с/г техн. (Південмаш)</t>
  </si>
  <si>
    <t>ТОВ "Харківська Регіональна Лізінгова компанія" с/г техн.(ХТЗ)</t>
  </si>
  <si>
    <t>АТ "Сілур"</t>
  </si>
  <si>
    <t>ВАТ "Львівагрореммашпостач"</t>
  </si>
  <si>
    <t>СП "Дако", ВСП Агрофірма "Вікторія" СУФП "Дако", ВСП Агрофірма "Уманська МТС" СУФП "Дако", ВСП Агрофірма "Вереміївська машино-технологічна станція" СУФП "Дако", ВСП Агрофірма "Лівобережна" СУФП "Дако", ВСП Агрофірма "Світанок" СУФП "Дако"</t>
  </si>
  <si>
    <t>СП "Укрінтерцукор"</t>
  </si>
  <si>
    <t xml:space="preserve">КПДТФ "Дніпрянка" </t>
  </si>
  <si>
    <t>ВАТ "Украгротех"</t>
  </si>
  <si>
    <t>ТОВ "Надіяагроком" 
(реструктуризована заборгованість Української аграрної біржі)</t>
  </si>
  <si>
    <t>ТОВ "Жовтнева МТС" 
(реструктуризована заборгованість Української аграрної біржі)</t>
  </si>
  <si>
    <t>ВНО "Укрптахопром"</t>
  </si>
  <si>
    <t>АБ "Донвуглекомбанк"</t>
  </si>
  <si>
    <t>ЗАТ "Гібрид-С"</t>
  </si>
  <si>
    <t>*</t>
  </si>
  <si>
    <r>
      <t xml:space="preserve">АТ "Агросоюз" </t>
    </r>
    <r>
      <rPr>
        <i/>
        <sz val="10"/>
        <rFont val="Times New Roman"/>
        <family val="1"/>
        <charset val="204"/>
      </rPr>
      <t>(солідарна відповідальність з Київською обласною державною адміністрацією)</t>
    </r>
  </si>
  <si>
    <r>
      <t>ВАТ "Луганський облагротехсервіс"</t>
    </r>
    <r>
      <rPr>
        <i/>
        <sz val="10"/>
        <rFont val="Times New Roman"/>
        <family val="1"/>
        <charset val="204"/>
      </rPr>
      <t xml:space="preserve"> (солідарна відповідальність з Луганською обласною державною адміністрацією)</t>
    </r>
  </si>
  <si>
    <r>
      <t xml:space="preserve">ВАТ "Агромашсервіскомплект" </t>
    </r>
    <r>
      <rPr>
        <i/>
        <sz val="10"/>
        <rFont val="Times New Roman"/>
        <family val="1"/>
        <charset val="204"/>
      </rPr>
      <t>(солідарна відповідальність з Житомирською обласною державною адміністрацією)</t>
    </r>
  </si>
  <si>
    <t>* - заборгованість підприємств, по яких проведено державну реєстрацію припинення юридичної особи в результаті її ліквідації, відображено в сумі заборгованості підприємств, що мають солідарну відповідальність з ними.</t>
  </si>
  <si>
    <t>(у редакції наказу МФУ від 11.04.2016 № 438)</t>
  </si>
  <si>
    <t>ДП ВО "Південмаш" 
ім.О.М. Макарова</t>
  </si>
  <si>
    <t xml:space="preserve">ВАТ "Надвірнянський лісокомбінат" </t>
  </si>
  <si>
    <t>** - станом на 01.03.2016 р. по ВАТ "Івано-Франківська меблева фабрика" існує державна реєстрація припинення юридичної особи у зв'язку з визнанням його банкрутом.</t>
  </si>
  <si>
    <t>ЗАТ СНК "Одеська кукурудза"</t>
  </si>
  <si>
    <r>
      <t>КП "Городок"</t>
    </r>
    <r>
      <rPr>
        <i/>
        <sz val="10"/>
        <rFont val="Times New Roman"/>
        <family val="1"/>
        <charset val="204"/>
      </rPr>
      <t xml:space="preserve">  
(солідарна відповідальність з Балтською міською радою)</t>
    </r>
  </si>
  <si>
    <t>,</t>
  </si>
  <si>
    <t xml:space="preserve">Балтська міська рада </t>
  </si>
  <si>
    <t>Департамент енергетики, транспорту та зв'язку Вінницької міської ради (Договір від 02.12.2013 №15010-03/106)</t>
  </si>
  <si>
    <t>Департамент капітального будівництва Вінницької міської ради (Договір від 30.12.2013 № 15010-03/138)</t>
  </si>
  <si>
    <t>Управління капітального будівництва Херсонської міської ради (Договір від 24.12.2013 №15010-03/125)</t>
  </si>
  <si>
    <t>ПАТ "Державна продовольчо-зернова корпорація України"</t>
  </si>
  <si>
    <t>Міністерство енергетики та вугільної промисловості 
(Угода від 16.10.2013 № 15010-03/94)</t>
  </si>
  <si>
    <r>
      <t>ПАТ "Укргідроенерго"</t>
    </r>
    <r>
      <rPr>
        <sz val="8"/>
        <rFont val="Times New Roman"/>
        <family val="1"/>
        <charset val="204"/>
      </rPr>
      <t xml:space="preserve"> 
</t>
    </r>
    <r>
      <rPr>
        <i/>
        <sz val="8"/>
        <rFont val="Times New Roman"/>
        <family val="1"/>
        <charset val="204"/>
      </rPr>
      <t>(№ 4795 від 19.09.2005, від 07.11.2005 № 28000-04/80)</t>
    </r>
  </si>
  <si>
    <t>ПАТ "Укргідроенерго" 
(№ 7791 від 03.02.2012, від 11.12.2009 № 28010-02/134)</t>
  </si>
  <si>
    <t>НАК "Нафтогаз України" ЄБРР
(Угода від 23.10.2015 № 47283)</t>
  </si>
  <si>
    <t>ПАТ НАК "Нафтогаз України" 
(Договір від 05.06.2009 № 28010-02/60)</t>
  </si>
  <si>
    <t>АТ "Кріопром"</t>
  </si>
  <si>
    <t xml:space="preserve">Концерн "Південриба", 
АТ "Південриббуд" </t>
  </si>
  <si>
    <t>АТ "Агросоюз"</t>
  </si>
  <si>
    <t xml:space="preserve">Київська обласна державна адміністрація - солідарна відповідальність з </t>
  </si>
  <si>
    <t>Академія медичних наук</t>
  </si>
  <si>
    <t>ВАТ НАК "Украгрлізинг"</t>
  </si>
  <si>
    <r>
      <t xml:space="preserve">ВАТ "Прикарпатський меблевий комбінат" </t>
    </r>
    <r>
      <rPr>
        <i/>
        <sz val="10"/>
        <rFont val="Times New Roman"/>
        <family val="1"/>
        <charset val="204"/>
      </rPr>
      <t>(солідарна відповідальність з 
ЛПО "Прикарпатліс", 
ХК "Прикарпатліс", 
ВАТ "Івано-Франківська меблева фабрика")</t>
    </r>
  </si>
  <si>
    <r>
      <rPr>
        <sz val="11"/>
        <rFont val="Times New Roman"/>
        <family val="1"/>
        <charset val="204"/>
      </rPr>
      <t xml:space="preserve">ВАТ "Укрімпекс"  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(солідарна відповідальність з ООО "Геснерія-Центр", 
ТОВ "Геснерія ЛТД",
АТЗТ "Асоціація дитячого харчування", ВАТ "Херсонський консервний завод дитячого харчування ім. 8 березня" )</t>
    </r>
  </si>
  <si>
    <t xml:space="preserve">Інженерно-технічний центр "Сумиоблагротехсервіс", </t>
  </si>
  <si>
    <t xml:space="preserve">Інженерно - технічний центр "Сумиагротранс" </t>
  </si>
  <si>
    <t>Міжрайонний торговий будинок "Агротехсервіс"</t>
  </si>
  <si>
    <r>
      <rPr>
        <sz val="11"/>
        <rFont val="Times New Roman"/>
        <family val="1"/>
        <charset val="204"/>
      </rPr>
      <t>ВАТ "Сумиоблагротехсервіс"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солідарна відповідальність з 
Сумська облдержадміністрація (гарант),</t>
    </r>
  </si>
  <si>
    <r>
      <rPr>
        <sz val="11"/>
        <rFont val="Times New Roman"/>
        <family val="1"/>
        <charset val="204"/>
      </rPr>
      <t>ЛПО "Прикарпатліс"</t>
    </r>
    <r>
      <rPr>
        <sz val="10"/>
        <rFont val="Times New Roman"/>
        <family val="1"/>
        <charset val="204"/>
      </rPr>
      <t xml:space="preserve">,  </t>
    </r>
    <r>
      <rPr>
        <i/>
        <sz val="10"/>
        <rFont val="Times New Roman"/>
        <family val="1"/>
        <charset val="204"/>
      </rPr>
      <t>(солідарна відповідальність з 
ХК "Прикарпатліс", 
ВАТ "Прикарпатський меблевий комбінат" та  ВАТ "Івано-Франківська меблева фабрика" **)</t>
    </r>
  </si>
  <si>
    <r>
      <t xml:space="preserve">Центр державного земельного кадастру при Держкомземі 
</t>
    </r>
    <r>
      <rPr>
        <i/>
        <sz val="10"/>
        <rFont val="Times New Roman"/>
        <family val="1"/>
        <charset val="204"/>
      </rPr>
      <t xml:space="preserve">(Позика № 4709-UA) </t>
    </r>
  </si>
  <si>
    <r>
      <t xml:space="preserve">Центр державного земельного кадастру при Держкомземі 
</t>
    </r>
    <r>
      <rPr>
        <i/>
        <sz val="10"/>
        <rFont val="Times New Roman"/>
        <family val="1"/>
        <charset val="204"/>
      </rPr>
      <t>(Позика № 4709-UA (бюджет))</t>
    </r>
  </si>
  <si>
    <t>Київська міська рада 
(Дог. від 11.03.2016 № 13010-05/38)</t>
  </si>
  <si>
    <r>
      <t xml:space="preserve">ПАТ "Донбасенерго" </t>
    </r>
    <r>
      <rPr>
        <i/>
        <sz val="10"/>
        <rFont val="Times New Roman"/>
        <family val="1"/>
        <charset val="204"/>
      </rPr>
      <t>(ЄБРР)</t>
    </r>
  </si>
  <si>
    <t xml:space="preserve">Львівська міська рада </t>
  </si>
  <si>
    <t>КП "Дніпропетровський метрополітен" (Дніпропетровська міська рада) (Угода від 27.07.2012 № 41614, від 21.12.2012 №15010-03/138)</t>
  </si>
  <si>
    <r>
      <t xml:space="preserve">Українська енерго-сервісна компанія (УкрЕСКО) 
</t>
    </r>
    <r>
      <rPr>
        <i/>
        <sz val="8"/>
        <rFont val="Times New Roman"/>
        <family val="1"/>
        <charset val="204"/>
      </rPr>
      <t>(Угода від 21.10.2005 № 28000-04/77-1)</t>
    </r>
  </si>
  <si>
    <r>
      <t xml:space="preserve">ВАТ "Агропромінвест" 
</t>
    </r>
    <r>
      <rPr>
        <i/>
        <sz val="10"/>
        <rFont val="Times New Roman"/>
        <family val="1"/>
        <charset val="204"/>
      </rPr>
      <t>(солідарна відповідальність 
із ЗАТ "Світанок")</t>
    </r>
  </si>
  <si>
    <t>Державна іпотечна установа 
(Договір від 30.12.2008 №28020-02/150)</t>
  </si>
  <si>
    <t>Державна іпотечна установа 
(Договір від 23.11.2012 №15010-03/118)</t>
  </si>
  <si>
    <t>Аеропорт "Бориспіль" (Субкр. угода від 22.09.2005 № 13000-04/70)</t>
  </si>
  <si>
    <t>Державне агентство автомобільних доріг України (Договір від 07.07.2006 
№ 28000-04/77/1 Сіті Банк)</t>
  </si>
  <si>
    <t>Державне підприємство "Укркосмос" (Дог від 15.12.2009 № 28010-02/137)</t>
  </si>
  <si>
    <t>ПП "Югторг-М" 
(реструктуризована заборгованість Української аграрної біржі)</t>
  </si>
  <si>
    <r>
      <t xml:space="preserve">КП"Івано-Франківськводоекотехпром"                                                </t>
    </r>
    <r>
      <rPr>
        <i/>
        <sz val="9"/>
        <rFont val="Times New Roman"/>
        <family val="1"/>
        <charset val="204"/>
      </rPr>
      <t>(Угода від 10.12.2007 № 28000-04/207)</t>
    </r>
  </si>
  <si>
    <r>
      <t xml:space="preserve">КП"Івано-Франківськводоекотехпром"                                                </t>
    </r>
    <r>
      <rPr>
        <i/>
        <sz val="9"/>
        <rFont val="Times New Roman"/>
        <family val="1"/>
        <charset val="204"/>
      </rPr>
      <t>(Угода від  14.09.2010 № 28010-02/108)</t>
    </r>
  </si>
  <si>
    <r>
      <t xml:space="preserve">КП "Водотеплосервіс"(м.Калуш)                                            </t>
    </r>
    <r>
      <rPr>
        <i/>
        <sz val="9"/>
        <rFont val="Times New Roman"/>
        <family val="1"/>
        <charset val="204"/>
      </rPr>
      <t xml:space="preserve">(Угода від 16.10.2009 № 28010-02/110) </t>
    </r>
  </si>
  <si>
    <r>
      <t>КП "Бориспільводоканал"</t>
    </r>
    <r>
      <rPr>
        <i/>
        <sz val="8"/>
        <rFont val="Times New Roman"/>
        <family val="1"/>
        <charset val="204"/>
      </rPr>
      <t xml:space="preserve">                                        </t>
    </r>
    <r>
      <rPr>
        <i/>
        <sz val="9"/>
        <rFont val="Times New Roman"/>
        <family val="1"/>
        <charset val="204"/>
      </rPr>
      <t>(Угода від 12.02.2010 № 28010-02/22)</t>
    </r>
  </si>
  <si>
    <r>
      <t xml:space="preserve">КП "Міський водоканал" Нова Каховка </t>
    </r>
    <r>
      <rPr>
        <sz val="9"/>
        <rFont val="Times New Roman"/>
        <family val="1"/>
        <charset val="204"/>
      </rPr>
      <t>(</t>
    </r>
    <r>
      <rPr>
        <i/>
        <sz val="9"/>
        <rFont val="Times New Roman"/>
        <family val="1"/>
        <charset val="204"/>
      </rPr>
      <t>від 12.02.2010 № 28010-02/19</t>
    </r>
    <r>
      <rPr>
        <i/>
        <sz val="8"/>
        <rFont val="Times New Roman"/>
        <family val="1"/>
        <charset val="204"/>
      </rPr>
      <t>)</t>
    </r>
  </si>
  <si>
    <r>
      <t xml:space="preserve">КП "Служба єдиного замовника" м.Кам"янець-Подільський                                          </t>
    </r>
    <r>
      <rPr>
        <i/>
        <sz val="9"/>
        <rFont val="Times New Roman"/>
        <family val="1"/>
        <charset val="204"/>
      </rPr>
      <t>(Угода від 12.02.2010 № 28010-02/21)</t>
    </r>
    <r>
      <rPr>
        <i/>
        <sz val="8"/>
        <rFont val="Times New Roman"/>
        <family val="1"/>
        <charset val="204"/>
      </rPr>
      <t xml:space="preserve"> </t>
    </r>
  </si>
  <si>
    <r>
      <t xml:space="preserve">КП "Черкасиводоканал"                                              </t>
    </r>
    <r>
      <rPr>
        <i/>
        <sz val="9"/>
        <rFont val="Times New Roman"/>
        <family val="1"/>
        <charset val="204"/>
      </rPr>
      <t xml:space="preserve">(Угода від 29.12.2009 № 28010-02/144) </t>
    </r>
  </si>
  <si>
    <r>
      <t xml:space="preserve">КП "Чернігівводоканал"                                   </t>
    </r>
    <r>
      <rPr>
        <i/>
        <sz val="9"/>
        <rFont val="Times New Roman"/>
        <family val="1"/>
        <charset val="204"/>
      </rPr>
      <t>(Угода від 10.12.2007 № 28000-04/205)</t>
    </r>
  </si>
  <si>
    <r>
      <t xml:space="preserve">ОКП"Миколаївоблтеплоенерго"МБРР
</t>
    </r>
    <r>
      <rPr>
        <i/>
        <sz val="9"/>
        <rFont val="Times New Roman"/>
        <family val="1"/>
        <charset val="204"/>
      </rPr>
      <t xml:space="preserve">(Договір від 28.11.2014 № 13010-05/107) </t>
    </r>
  </si>
  <si>
    <r>
      <t xml:space="preserve">КП "Дрогобичводоканал" 
</t>
    </r>
    <r>
      <rPr>
        <i/>
        <sz val="9"/>
        <rFont val="Times New Roman"/>
        <family val="1"/>
        <charset val="204"/>
      </rPr>
      <t>(Угода від 29.12.2009 № 28010-02/146)</t>
    </r>
  </si>
  <si>
    <r>
      <t xml:space="preserve">КП "Словміськводоканал" 
</t>
    </r>
    <r>
      <rPr>
        <i/>
        <sz val="9"/>
        <rFont val="Times New Roman"/>
        <family val="1"/>
        <charset val="204"/>
      </rPr>
      <t>(Угода від 29.12.2009 № 28010-02/148)</t>
    </r>
  </si>
  <si>
    <r>
      <t xml:space="preserve">КП"Агенство програм розвитку Одеси" </t>
    </r>
    <r>
      <rPr>
        <i/>
        <sz val="8"/>
        <rFont val="Times New Roman"/>
        <family val="1"/>
        <charset val="204"/>
      </rPr>
      <t>№28010-02/116 від 28.10.2009</t>
    </r>
  </si>
  <si>
    <r>
      <t xml:space="preserve">КП"Агенство програм розвитку Одеси" </t>
    </r>
    <r>
      <rPr>
        <i/>
        <sz val="8"/>
        <rFont val="Times New Roman"/>
        <family val="1"/>
        <charset val="204"/>
      </rPr>
      <t>№28000-04/206 від 10.12.2007</t>
    </r>
  </si>
  <si>
    <r>
      <t xml:space="preserve">КП "Кременчукводоканал" 
</t>
    </r>
    <r>
      <rPr>
        <i/>
        <sz val="9"/>
        <rFont val="Times New Roman"/>
        <family val="1"/>
        <charset val="204"/>
      </rPr>
      <t>(Угода від 27.01.2010 № 28010-02/11)</t>
    </r>
  </si>
  <si>
    <r>
      <t xml:space="preserve">КП "Чернігівводоканал"                                   </t>
    </r>
    <r>
      <rPr>
        <i/>
        <sz val="9"/>
        <rFont val="Times New Roman"/>
        <family val="1"/>
        <charset val="204"/>
      </rPr>
      <t>(Угода від 28.10.2009 № 28010-02/117)</t>
    </r>
  </si>
  <si>
    <r>
      <t xml:space="preserve">Державне агентство автомобільних доріг України (Укравтодор)  МБРР             </t>
    </r>
    <r>
      <rPr>
        <i/>
        <sz val="9"/>
        <rFont val="Times New Roman"/>
        <family val="1"/>
        <charset val="204"/>
      </rPr>
      <t xml:space="preserve">  (Позика № 8195 від 11.10.2012,  
угода № 15010-03/98 від 11.10.2012)</t>
    </r>
  </si>
  <si>
    <r>
      <t xml:space="preserve">ДП НЕК  "Укренерго" ЄБРР
</t>
    </r>
    <r>
      <rPr>
        <i/>
        <sz val="9"/>
        <rFont val="Times New Roman"/>
        <family val="1"/>
        <charset val="204"/>
      </rPr>
      <t>(Кредитна угода від 19.10.2010 №40147, субкр.уг. від 18.11.2010 №28010-02/169)</t>
    </r>
  </si>
  <si>
    <r>
      <t xml:space="preserve">ДП НЕК  "Укренерго" ЄІБ 
</t>
    </r>
    <r>
      <rPr>
        <i/>
        <sz val="9"/>
        <rFont val="Times New Roman"/>
        <family val="1"/>
        <charset val="204"/>
      </rPr>
      <t>(Фінанс. уг від 16.09.2011 № 31.143, субкр.уг. від 02.07.2013 №15010-03/75)</t>
    </r>
  </si>
  <si>
    <r>
      <t xml:space="preserve">ДП "Південна залізниця" 
</t>
    </r>
    <r>
      <rPr>
        <i/>
        <sz val="9"/>
        <rFont val="Times New Roman"/>
        <family val="1"/>
        <charset val="204"/>
      </rPr>
      <t>(Договір від 30.12.2010 №28010-02/205)</t>
    </r>
  </si>
  <si>
    <r>
      <t xml:space="preserve">ПАТ "Укргідроенерго" ЄІБ 
</t>
    </r>
    <r>
      <rPr>
        <i/>
        <sz val="9"/>
        <rFont val="Times New Roman"/>
        <family val="1"/>
        <charset val="204"/>
      </rPr>
      <t>(Угода від 21.09.2012 № 31.177, 
субкр.уг.  від 12.12.2012 №15010-03/130)</t>
    </r>
  </si>
  <si>
    <r>
      <t xml:space="preserve">Державне агентство автомобільних доріг України (Укравтодор)  МБРР       </t>
    </r>
    <r>
      <rPr>
        <i/>
        <sz val="9"/>
        <rFont val="Times New Roman"/>
        <family val="1"/>
        <charset val="204"/>
      </rPr>
      <t xml:space="preserve">(Позика № 7677 від 21.04.2009, 
угода № 28010-02/40 від 17.04.2009) </t>
    </r>
  </si>
  <si>
    <r>
      <t xml:space="preserve"> Державне агентство автомобільних доріг України (Укравтодор)  ЄБРР
</t>
    </r>
    <r>
      <rPr>
        <i/>
        <sz val="9"/>
        <rFont val="Times New Roman"/>
        <family val="1"/>
        <charset val="204"/>
      </rPr>
      <t>(Договір № 28010-02/9 від 20.01.2011,  угода від 26.11.2010 № 40185)</t>
    </r>
  </si>
  <si>
    <r>
      <t xml:space="preserve"> Державне агентство автомобільних доріг України (Укравтодор) ЄБРР  </t>
    </r>
    <r>
      <rPr>
        <i/>
        <sz val="9"/>
        <rFont val="Times New Roman"/>
        <family val="1"/>
        <charset val="204"/>
      </rPr>
      <t>(Позика № 896 від 11.12.2000, 
угода №101-04/53 від 07.12.2000)</t>
    </r>
  </si>
  <si>
    <r>
      <t xml:space="preserve"> Державне агентство автомобільних доріг України (Укравтодор) ЄБРР  
</t>
    </r>
    <r>
      <rPr>
        <i/>
        <sz val="9"/>
        <rFont val="Times New Roman"/>
        <family val="1"/>
        <charset val="204"/>
      </rPr>
      <t>(Позика № 36547 від 19.12.2006)</t>
    </r>
  </si>
  <si>
    <r>
      <t xml:space="preserve"> Державне агентство автомобільних доріг України (Укравтодор) ЄБРР  
</t>
    </r>
    <r>
      <rPr>
        <i/>
        <sz val="9"/>
        <rFont val="Times New Roman"/>
        <family val="1"/>
        <charset val="204"/>
      </rPr>
      <t>(Позика № 31928 від 28.02.2005)</t>
    </r>
  </si>
  <si>
    <r>
      <t xml:space="preserve"> Державне агентство автомобільних доріг України (Укравтодор) ЄІБ </t>
    </r>
    <r>
      <rPr>
        <i/>
        <sz val="9"/>
        <rFont val="Times New Roman"/>
        <family val="1"/>
        <charset val="204"/>
      </rPr>
      <t xml:space="preserve">(Позика.від 27.05.2011 № 26131
угода №15010-02/121 від 06.07.2011) 
</t>
    </r>
  </si>
  <si>
    <t>Енергоатом (ЄБРР) 
№42086,  №13010-05/109 від 20.11.2014</t>
  </si>
  <si>
    <r>
      <t xml:space="preserve">Енергоатом (ЄБРР)  
</t>
    </r>
    <r>
      <rPr>
        <i/>
        <sz val="8"/>
        <rFont val="Times New Roman"/>
        <family val="1"/>
        <charset val="204"/>
      </rPr>
      <t>№ 13000-04/149 від 22.10.2004</t>
    </r>
  </si>
  <si>
    <r>
      <t xml:space="preserve"> Державне агентство автомобільних доріг України (Укравтодор) ЄІБ
</t>
    </r>
    <r>
      <rPr>
        <i/>
        <sz val="9"/>
        <rFont val="Times New Roman"/>
        <family val="1"/>
        <charset val="204"/>
      </rPr>
      <t>(№28000-04/217 від 18.12.2007, фін.угода від 30.07.2007  № 24062)</t>
    </r>
  </si>
  <si>
    <r>
      <t xml:space="preserve">ДП НЕК "Укренерго"    ЄІБ
(Рівненська АЕС - Київська) 
</t>
    </r>
    <r>
      <rPr>
        <i/>
        <sz val="9"/>
        <rFont val="Times New Roman"/>
        <family val="1"/>
        <charset val="204"/>
      </rPr>
      <t>(Позика від 08.10.2008 № 24668, 
Угода від 08.10.2008 №28020-02/128)</t>
    </r>
  </si>
  <si>
    <t>Державна іпотечна установа 
(Договір від 26.12.2013 №15010-03/127)</t>
  </si>
  <si>
    <r>
      <t xml:space="preserve">ДК "Укртрансгаз" 
</t>
    </r>
    <r>
      <rPr>
        <i/>
        <sz val="9"/>
        <rFont val="Times New Roman"/>
        <family val="1"/>
        <charset val="204"/>
      </rPr>
      <t xml:space="preserve">(Договір від 11.12.2012 № 15010-03/127) </t>
    </r>
  </si>
  <si>
    <r>
      <t xml:space="preserve">Німецько -Український фонд 
</t>
    </r>
    <r>
      <rPr>
        <i/>
        <sz val="9"/>
        <rFont val="Times New Roman"/>
        <family val="1"/>
        <charset val="204"/>
      </rPr>
      <t>(Угода від 11.10.2006 № 28000-04/150 )</t>
    </r>
  </si>
  <si>
    <r>
      <t xml:space="preserve">КП ВМР "Вінницяміськтеплоенерго"
</t>
    </r>
    <r>
      <rPr>
        <i/>
        <sz val="9"/>
        <color indexed="8"/>
        <rFont val="Times New Roman"/>
        <family val="1"/>
        <charset val="204"/>
      </rPr>
      <t>(Угода від 20.11.2014 № 13010-05/99)</t>
    </r>
  </si>
  <si>
    <r>
      <t xml:space="preserve">КП ВМР "Вінницяміськтеплоенерго"
</t>
    </r>
    <r>
      <rPr>
        <i/>
        <sz val="9"/>
        <color indexed="8"/>
        <rFont val="Times New Roman"/>
        <family val="1"/>
        <charset val="204"/>
      </rPr>
      <t xml:space="preserve">(Уг. від 20.11.2014 №13010-05/100) </t>
    </r>
    <r>
      <rPr>
        <sz val="10"/>
        <color indexed="8"/>
        <rFont val="Times New Roman"/>
        <family val="1"/>
        <charset val="204"/>
      </rPr>
      <t>ФЧТ</t>
    </r>
  </si>
  <si>
    <r>
      <t xml:space="preserve">КП "Дніпротеплоенерго"  МБРР
</t>
    </r>
    <r>
      <rPr>
        <i/>
        <sz val="9"/>
        <color indexed="8"/>
        <rFont val="Times New Roman"/>
        <family val="1"/>
        <charset val="204"/>
      </rPr>
      <t>(Угода від 28.11.2014 № 13010-05/121)</t>
    </r>
  </si>
  <si>
    <r>
      <t xml:space="preserve">КП "Дніпротеплоенерго" ФЧТ
</t>
    </r>
    <r>
      <rPr>
        <i/>
        <sz val="9"/>
        <color indexed="8"/>
        <rFont val="Times New Roman"/>
        <family val="1"/>
        <charset val="204"/>
      </rPr>
      <t>(Угода від 28.11.2014 № 13010-05/122)</t>
    </r>
  </si>
  <si>
    <r>
      <t xml:space="preserve">КВП "Краматорський водоканал" 
</t>
    </r>
    <r>
      <rPr>
        <i/>
        <sz val="9"/>
        <color indexed="8"/>
        <rFont val="Times New Roman"/>
        <family val="1"/>
        <charset val="204"/>
      </rPr>
      <t>(Угода від 04.12.2014 № 13010-05/127)</t>
    </r>
  </si>
  <si>
    <r>
      <t xml:space="preserve">КП "Новоград-Волинське УВКГ" 
м. Новоград-Волинський 
</t>
    </r>
    <r>
      <rPr>
        <i/>
        <sz val="9"/>
        <rFont val="Times New Roman"/>
        <family val="1"/>
        <charset val="204"/>
      </rPr>
      <t>(Угода від 13.01.2010 № 28010-02/20)</t>
    </r>
  </si>
  <si>
    <t>КП "Житомирводоканал" МБРР
(Угода від 30.11.2014 № 13010-05/92)</t>
  </si>
  <si>
    <t>КП "Житомирводоканал"  ФЧТ
(Угода від 20.11.2014 № 13010-05/91)</t>
  </si>
  <si>
    <t>КВП "Дніпро-Кіровоград"    МБРР
(Угода від 20.11.2014 № 13010-05/97)</t>
  </si>
  <si>
    <t>КВП "Дніпро-Кіровоград"  ФЧТ
(Угода від 20.11.2014 № 13010-05/98)</t>
  </si>
  <si>
    <t>КП "Тернопільводоканал"  МБРР
(Угода від 20.11.2014 № 13010-05/95)</t>
  </si>
  <si>
    <t>КП "Тернопільводоканал" ФЧТ
(Угода від 20.11.2014 № 13010-05/96)</t>
  </si>
  <si>
    <t>Харківводоканал  МБРР
(Угода від 20.11.2014 № 13010-05/94)</t>
  </si>
  <si>
    <t>Харківводоканал  ФЧТ
(Угода від 20.11.2014 № 13010-05/93)</t>
  </si>
  <si>
    <t>Харківські теплові мережі  МБРР
(Угода від 20.11.2014 № 13010-05/103)</t>
  </si>
  <si>
    <t>Харківські теплові мережі  ФЧТ
(Угода від 20.11.2014 № 13010-05/104)</t>
  </si>
  <si>
    <t>КП "Муніципальна компанія поводження з відходами"  МБРР
(Угода від 20.11.2014 № №13010-05/90)</t>
  </si>
  <si>
    <t>КП "Муніципальна компанія поводження з відходами"  ФЧТ
(Угода від 20.11.2014 № 13010-05/89)</t>
  </si>
  <si>
    <t>МКП "Херсонтеплоенерго" МБРР
(Угода від 20.11.2014 № 13010-05/105)</t>
  </si>
  <si>
    <t>МКП "Херсонтеплоенерго"  ФЧТ
(Угода від 21.11.2014 № 13010-05/106)</t>
  </si>
  <si>
    <r>
      <t xml:space="preserve">КП "Міськтепловоденергія" 
м. Камянець-Подільський  МБРР
</t>
    </r>
    <r>
      <rPr>
        <i/>
        <sz val="9"/>
        <color indexed="8"/>
        <rFont val="Times New Roman"/>
        <family val="1"/>
        <charset val="204"/>
      </rPr>
      <t>(Угода від 20.11.2014 № 13010-05/102)</t>
    </r>
  </si>
  <si>
    <r>
      <t xml:space="preserve">КП "Міськтепловоденергія"
м. Камянець-Подільський   ФЧТ
</t>
    </r>
    <r>
      <rPr>
        <i/>
        <sz val="9"/>
        <color indexed="8"/>
        <rFont val="Times New Roman"/>
        <family val="1"/>
        <charset val="204"/>
      </rPr>
      <t>(Угода від 20.11.2014 № 13010-05/101)</t>
    </r>
  </si>
  <si>
    <r>
      <t xml:space="preserve">КП "Черкасиводоканал"  МБРР
</t>
    </r>
    <r>
      <rPr>
        <i/>
        <sz val="9"/>
        <color indexed="8"/>
        <rFont val="Times New Roman"/>
        <family val="1"/>
        <charset val="204"/>
      </rPr>
      <t>(Угода від 17.06.2015 № 13010-05/63)</t>
    </r>
  </si>
  <si>
    <t>ПАТ "АК "Київводоканал"  МБРР
(Угода від 04.12.2014 № 13010-05/128)</t>
  </si>
  <si>
    <t>ПАТ "АК "Київводоканал"  ФЧТ
(Угода від 04.12.2014 № 13010-05/129)</t>
  </si>
  <si>
    <r>
      <t xml:space="preserve">Івано-Франківська міська рада 
</t>
    </r>
    <r>
      <rPr>
        <i/>
        <sz val="9"/>
        <rFont val="Times New Roman"/>
        <family val="1"/>
        <charset val="204"/>
      </rPr>
      <t>(№ 28020-02/110 від 11.08.2008)</t>
    </r>
  </si>
  <si>
    <r>
      <t xml:space="preserve">Івано-Франківська міська рада 
</t>
    </r>
    <r>
      <rPr>
        <i/>
        <sz val="9"/>
        <rFont val="Times New Roman"/>
        <family val="1"/>
        <charset val="204"/>
      </rPr>
      <t>(№ 2 від 16.11.2012)</t>
    </r>
  </si>
  <si>
    <r>
      <t xml:space="preserve">Дрогобицька міська рада 
</t>
    </r>
    <r>
      <rPr>
        <i/>
        <sz val="9"/>
        <rFont val="Times New Roman"/>
        <family val="1"/>
        <charset val="204"/>
      </rPr>
      <t>(Угода від 27.01.2010 № 3-30 543)</t>
    </r>
  </si>
  <si>
    <r>
      <t xml:space="preserve">Вознесенська міська рада 
</t>
    </r>
    <r>
      <rPr>
        <i/>
        <sz val="9"/>
        <rFont val="Times New Roman"/>
        <family val="1"/>
        <charset val="204"/>
      </rPr>
      <t>(Угода від 29.12.2009 № 16)</t>
    </r>
  </si>
  <si>
    <r>
      <t xml:space="preserve">Калуська міська рада 
</t>
    </r>
    <r>
      <rPr>
        <i/>
        <sz val="9"/>
        <rFont val="Times New Roman"/>
        <family val="1"/>
        <charset val="204"/>
      </rPr>
      <t>(Угода від 21.09.2009 № 1)</t>
    </r>
  </si>
  <si>
    <r>
      <t xml:space="preserve">ДАЗТ "Укрзалізниця" ЄБРР
</t>
    </r>
    <r>
      <rPr>
        <i/>
        <sz val="9"/>
        <color indexed="8"/>
        <rFont val="Times New Roman"/>
        <family val="1"/>
        <charset val="204"/>
      </rPr>
      <t>(Позика від 31.08.2004 № 14849,
Угода від 21.07.2004 № 13000-04/86)</t>
    </r>
  </si>
  <si>
    <t>ПАТ "Укргідроенерго"  ЄБРР
(Угода від 29.09.2011 № 40518, субк.від 16.05.2012 №15010-03/56)</t>
  </si>
  <si>
    <r>
      <t xml:space="preserve">МКП «Миколаївводоканал»  ЄІБ
</t>
    </r>
    <r>
      <rPr>
        <i/>
        <sz val="9"/>
        <color indexed="8"/>
        <rFont val="Times New Roman"/>
        <family val="1"/>
        <charset val="204"/>
      </rPr>
      <t>(Угода від 02.02.2010 № 25.474)</t>
    </r>
  </si>
  <si>
    <r>
      <t xml:space="preserve">ДП НЕК  "Укренерго"
</t>
    </r>
    <r>
      <rPr>
        <i/>
        <sz val="9"/>
        <color indexed="8"/>
        <rFont val="Times New Roman"/>
        <family val="1"/>
        <charset val="204"/>
      </rPr>
      <t>(Позика від 28.02.2008 № 37598, 
Угода від 07.12.2007 № 28000-04/202)</t>
    </r>
  </si>
  <si>
    <r>
      <t xml:space="preserve">ДП НЕК  "Укренерго"
</t>
    </r>
    <r>
      <rPr>
        <i/>
        <sz val="9"/>
        <color indexed="8"/>
        <rFont val="Times New Roman"/>
        <family val="1"/>
        <charset val="204"/>
      </rPr>
      <t>(Позика від 16.12.2005 № 33896, 
Угода від 10.02.2006 № 28000-04/12)</t>
    </r>
  </si>
  <si>
    <r>
      <t xml:space="preserve">НЕК "Укренерго" 
</t>
    </r>
    <r>
      <rPr>
        <i/>
        <sz val="9"/>
        <rFont val="Times New Roman"/>
        <family val="1"/>
        <charset val="204"/>
      </rPr>
      <t>(Позика №8462-UA, 
Договір від 25.05.2015 № 13010-05/53)</t>
    </r>
  </si>
  <si>
    <r>
      <t xml:space="preserve">НЕК "Укренерго" ФЧТ
</t>
    </r>
    <r>
      <rPr>
        <i/>
        <sz val="9"/>
        <rFont val="Times New Roman"/>
        <family val="1"/>
        <charset val="204"/>
      </rPr>
      <t>(Позика TF 017661, 
Договір від 25.05.2015 № 13010-05/54)</t>
    </r>
  </si>
  <si>
    <t>ДП НЕК "Укренерго" КфВ
(Кредитна угода від 30.12.2011
(Субк.уг.від 10.07.2012 № 15010-03/77)</t>
  </si>
  <si>
    <r>
      <t xml:space="preserve">ПАТ КБ "Надра" 
</t>
    </r>
    <r>
      <rPr>
        <i/>
        <sz val="9"/>
        <rFont val="Times New Roman"/>
        <family val="1"/>
        <charset val="204"/>
      </rPr>
      <t>(Угода від 22.06.2007 № 28000-04/99)</t>
    </r>
  </si>
  <si>
    <r>
      <t xml:space="preserve">ПАТ КБ "Надра" 
</t>
    </r>
    <r>
      <rPr>
        <i/>
        <sz val="9"/>
        <rFont val="Times New Roman"/>
        <family val="1"/>
        <charset val="204"/>
      </rPr>
      <t>(Угода від 09.12.1998 № 22-04/27)</t>
    </r>
  </si>
  <si>
    <r>
      <t xml:space="preserve">ПАТ "Донбасенерго" 
</t>
    </r>
    <r>
      <rPr>
        <i/>
        <sz val="9"/>
        <rFont val="Times New Roman"/>
        <family val="1"/>
        <charset val="204"/>
      </rPr>
      <t>(Позика МБРР від 01.11.1996 № 4098)</t>
    </r>
  </si>
  <si>
    <r>
      <t xml:space="preserve">ПАТ "Дніпроенерго" 
</t>
    </r>
    <r>
      <rPr>
        <i/>
        <sz val="9"/>
        <rFont val="Times New Roman"/>
        <family val="1"/>
        <charset val="204"/>
      </rPr>
      <t>(Позика МБРР від 01.11.1996 № 4098)</t>
    </r>
  </si>
  <si>
    <r>
      <t xml:space="preserve">ПАТ "Західенерго" 
</t>
    </r>
    <r>
      <rPr>
        <i/>
        <sz val="9"/>
        <rFont val="Times New Roman"/>
        <family val="1"/>
        <charset val="204"/>
      </rPr>
      <t>(Позика МБРР від 01.11.1996 № 4098)</t>
    </r>
  </si>
  <si>
    <r>
      <t xml:space="preserve">ПАТ "Центренерго" 
</t>
    </r>
    <r>
      <rPr>
        <i/>
        <sz val="9"/>
        <rFont val="Times New Roman"/>
        <family val="1"/>
        <charset val="204"/>
      </rPr>
      <t>(Позика МБРР від 01.11.1996 № 4098)</t>
    </r>
  </si>
  <si>
    <t xml:space="preserve">Сума заборгованості </t>
  </si>
  <si>
    <t xml:space="preserve">Сплачено до державного бюджету </t>
  </si>
  <si>
    <t>станом на 01 жовтня 2016 року</t>
  </si>
  <si>
    <r>
      <t xml:space="preserve">Державне агентство автомобільних доріг України (Укравтодор)  МБРР               (Угода від 22.12.2015 </t>
    </r>
    <r>
      <rPr>
        <i/>
        <sz val="10"/>
        <rFont val="Times New Roman"/>
        <family val="1"/>
        <charset val="204"/>
      </rPr>
      <t>№13010-05/155 , позика від 19.11.2015 № 8549)</t>
    </r>
  </si>
  <si>
    <t>ВАТ "Текстерно" (реструктурована заборгованість)</t>
  </si>
  <si>
    <r>
      <rPr>
        <sz val="11"/>
        <rFont val="Times New Roman"/>
        <family val="1"/>
        <charset val="204"/>
      </rPr>
      <t xml:space="preserve">ДАЗТ "Укрзалізниця" 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(Фін.угода від 07.05.2014 № 81.421, 
дог. від 17.07.2014 № 13010-05/62)</t>
    </r>
  </si>
  <si>
    <r>
      <rPr>
        <sz val="9"/>
        <rFont val="Arial Cyr"/>
        <charset val="204"/>
      </rPr>
      <t xml:space="preserve">з плати за надання державних гарантій за кодом бюджетної класифікації </t>
    </r>
    <r>
      <rPr>
        <sz val="10"/>
        <rFont val="Arial Cyr"/>
        <family val="2"/>
        <charset val="204"/>
      </rPr>
      <t>24110100</t>
    </r>
  </si>
  <si>
    <r>
      <rPr>
        <sz val="9"/>
        <rFont val="Arial Cyr"/>
        <charset val="204"/>
      </rPr>
      <t xml:space="preserve">за кредитами (позиками) 
за кодом бюджетної класифікації </t>
    </r>
    <r>
      <rPr>
        <sz val="10"/>
        <rFont val="Arial Cyr"/>
        <family val="2"/>
        <charset val="204"/>
      </rPr>
      <t>3511630</t>
    </r>
  </si>
  <si>
    <r>
      <rPr>
        <sz val="9"/>
        <rFont val="Arial Cyr"/>
        <charset val="204"/>
      </rPr>
      <t xml:space="preserve">з плати (відсотків) 
за користування кредитами (позиками) за кодом бюджетної класифікації </t>
    </r>
    <r>
      <rPr>
        <sz val="10"/>
        <rFont val="Arial Cyr"/>
        <family val="2"/>
        <charset val="204"/>
      </rPr>
      <t>24110200</t>
    </r>
  </si>
  <si>
    <t>1117160,14 ***</t>
  </si>
  <si>
    <t>303,51 ***</t>
  </si>
  <si>
    <t>30288,12 ***</t>
  </si>
  <si>
    <t>662654,87 ***</t>
  </si>
  <si>
    <t>*** - нарахована 15.04.2016 пеня буде анульована 15.10.2016 відповідно до внесених змін до Субкредитних договорів (лист МФУ від 13.10.2016 № 31-19030-02-10/28912).</t>
  </si>
  <si>
    <r>
      <t xml:space="preserve">АТ "Укрексімбанк" 
</t>
    </r>
    <r>
      <rPr>
        <i/>
        <sz val="9"/>
        <rFont val="Times New Roman"/>
        <family val="1"/>
        <charset val="204"/>
      </rPr>
      <t>(Договір від 10.06.2011 № 15010-02/110)</t>
    </r>
  </si>
  <si>
    <r>
      <rPr>
        <sz val="11"/>
        <rFont val="Times New Roman"/>
        <family val="1"/>
        <charset val="204"/>
      </rPr>
      <t xml:space="preserve">ХК "Прикарпатліс" 
</t>
    </r>
    <r>
      <rPr>
        <i/>
        <sz val="10"/>
        <rFont val="Times New Roman"/>
        <family val="1"/>
        <charset val="204"/>
      </rPr>
      <t>(солідарна відповідальність з ЛПО "Прикарпатліс", ВАТ "Прикарпатський меблевий комбінат" та  ВАТ "Івано-Франківська меблева фабрика" **)</t>
    </r>
  </si>
  <si>
    <r>
      <t xml:space="preserve">ВАТ "Івано-Франківська меблева фабрика"   **
</t>
    </r>
    <r>
      <rPr>
        <i/>
        <sz val="10"/>
        <rFont val="Times New Roman"/>
        <family val="1"/>
        <charset val="204"/>
      </rPr>
      <t>(солідарна відповідальність з ЛПО "Прикарпатліс", 
ХК "Прикарпатліс", 
ВАТ "Прикарпатський меблевий комбінат")</t>
    </r>
  </si>
  <si>
    <r>
      <t>ООО "Геснерія-Центр"</t>
    </r>
    <r>
      <rPr>
        <i/>
        <sz val="10"/>
        <rFont val="Times New Roman"/>
        <family val="1"/>
        <charset val="204"/>
      </rPr>
      <t>(солідарна відповідальність з ВАТ  Укрімпекс" )</t>
    </r>
  </si>
  <si>
    <r>
      <t xml:space="preserve">ТОВ "Геснерія ЛТД" 
</t>
    </r>
    <r>
      <rPr>
        <i/>
        <sz val="10"/>
        <rFont val="Times New Roman"/>
        <family val="1"/>
        <charset val="204"/>
      </rPr>
      <t>(солідарна відповідальність з ВАТ "Укрімпекс" )</t>
    </r>
  </si>
  <si>
    <r>
      <t xml:space="preserve">АТЗТ "Асоціація дитячого харчування" 
</t>
    </r>
    <r>
      <rPr>
        <i/>
        <sz val="10"/>
        <rFont val="Times New Roman"/>
        <family val="1"/>
        <charset val="204"/>
      </rPr>
      <t>(солідарна відповідальність 
з ВАТ "Укрімпекс" )</t>
    </r>
  </si>
  <si>
    <r>
      <t xml:space="preserve"> ВАТ "Херсонський консервний завод дитячого харчування 
ім. 8 березня" 
</t>
    </r>
    <r>
      <rPr>
        <i/>
        <sz val="10"/>
        <rFont val="Times New Roman"/>
        <family val="1"/>
        <charset val="204"/>
      </rPr>
      <t>(солідарна відповідальність 
з ВАТ "Укрімпекс" )</t>
    </r>
  </si>
  <si>
    <r>
      <t xml:space="preserve">ПАТ КБ "Імексбанк" 
</t>
    </r>
    <r>
      <rPr>
        <i/>
        <sz val="10"/>
        <rFont val="Times New Roman"/>
        <family val="1"/>
        <charset val="204"/>
      </rPr>
      <t xml:space="preserve">(Угода </t>
    </r>
    <r>
      <rPr>
        <i/>
        <sz val="8"/>
        <rFont val="Times New Roman"/>
        <family val="1"/>
        <charset val="204"/>
      </rPr>
      <t>від 25.09.2008 №28020-02/122)</t>
    </r>
  </si>
  <si>
    <r>
      <t xml:space="preserve">ОКП "Миколаївоблтеплоенерго"ФЧТ
</t>
    </r>
    <r>
      <rPr>
        <i/>
        <sz val="9"/>
        <rFont val="Times New Roman"/>
        <family val="1"/>
        <charset val="204"/>
      </rPr>
      <t>(Договір від 28.11.2014 № 13010-05/108)</t>
    </r>
    <r>
      <rPr>
        <sz val="10"/>
        <rFont val="Times New Roman"/>
        <family val="1"/>
        <charset val="204"/>
      </rPr>
      <t xml:space="preserve"> </t>
    </r>
  </si>
  <si>
    <r>
      <t xml:space="preserve">КП "Харківводоканал" </t>
    </r>
    <r>
      <rPr>
        <i/>
        <sz val="8"/>
        <rFont val="Times New Roman"/>
        <family val="1"/>
        <charset val="204"/>
      </rPr>
      <t xml:space="preserve">                                    </t>
    </r>
    <r>
      <rPr>
        <i/>
        <sz val="9"/>
        <rFont val="Times New Roman"/>
        <family val="1"/>
        <charset val="204"/>
      </rPr>
      <t xml:space="preserve">(Угода від 29.12.2009 № 28010-02/147) </t>
    </r>
  </si>
  <si>
    <r>
      <t xml:space="preserve">КП "Коломияводоканал"                              </t>
    </r>
    <r>
      <rPr>
        <i/>
        <sz val="8"/>
        <rFont val="Times New Roman"/>
        <family val="1"/>
        <charset val="204"/>
      </rPr>
      <t>№28010-02/111 від 16.10.2009</t>
    </r>
  </si>
  <si>
    <r>
      <t xml:space="preserve">НЕК "Укренерго" 
(№ 4868 від 09.11.2007,  Угода </t>
    </r>
    <r>
      <rPr>
        <i/>
        <sz val="8"/>
        <rFont val="Times New Roman"/>
        <family val="1"/>
        <charset val="204"/>
      </rPr>
      <t>від 23.08.2007 № 28000-04/123)</t>
    </r>
  </si>
  <si>
    <r>
      <t>Енергоатом  (ЄСАЕ) 
(</t>
    </r>
    <r>
      <rPr>
        <i/>
        <sz val="8"/>
        <rFont val="Times New Roman"/>
        <family val="1"/>
        <charset val="204"/>
      </rPr>
      <t>№13000-04/150 від 26.10.2004)</t>
    </r>
  </si>
</sst>
</file>

<file path=xl/styles.xml><?xml version="1.0" encoding="utf-8"?>
<styleSheet xmlns="http://schemas.openxmlformats.org/spreadsheetml/2006/main">
  <fonts count="67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 Cyr"/>
      <family val="2"/>
      <charset val="204"/>
    </font>
    <font>
      <b/>
      <sz val="12"/>
      <name val="Arial Cyr"/>
      <charset val="204"/>
    </font>
    <font>
      <b/>
      <sz val="16"/>
      <name val="Arial Cyr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sz val="8"/>
      <name val="Arial Cyr"/>
      <family val="2"/>
      <charset val="204"/>
    </font>
    <font>
      <sz val="8"/>
      <color theme="1"/>
      <name val="Calibri"/>
      <family val="2"/>
      <charset val="204"/>
      <scheme val="minor"/>
    </font>
    <font>
      <b/>
      <sz val="9"/>
      <name val="Arial Cyr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4"/>
      <name val="Arial Cyr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i/>
      <sz val="9.5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0"/>
      <color theme="1"/>
      <name val="Arial"/>
      <family val="2"/>
      <charset val="204"/>
    </font>
    <font>
      <sz val="10"/>
      <name val="Arial Cyr"/>
      <family val="2"/>
      <charset val="204"/>
    </font>
    <font>
      <sz val="10"/>
      <color theme="1"/>
      <name val="Arial Cyr"/>
      <family val="2"/>
      <charset val="204"/>
    </font>
    <font>
      <sz val="14"/>
      <color theme="6" tint="-0.499984740745262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0"/>
      <name val="Times New Roman"/>
      <family val="1"/>
      <charset val="204"/>
    </font>
    <font>
      <sz val="8"/>
      <name val="Times New Roman"/>
      <family val="1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sz val="8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color theme="0"/>
      <name val="Arial Cyr"/>
      <charset val="204"/>
    </font>
    <font>
      <sz val="9"/>
      <color theme="0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Arial Cyr"/>
      <charset val="204"/>
    </font>
    <font>
      <sz val="9"/>
      <color theme="1"/>
      <name val="Calibri"/>
      <family val="2"/>
      <charset val="204"/>
      <scheme val="minor"/>
    </font>
    <font>
      <sz val="9"/>
      <color rgb="FFFF0000"/>
      <name val="Arial Cyr"/>
      <charset val="204"/>
    </font>
    <font>
      <i/>
      <sz val="9"/>
      <name val="Arial Cyr"/>
      <family val="2"/>
      <charset val="204"/>
    </font>
    <font>
      <i/>
      <sz val="9"/>
      <name val="Arial Cyr"/>
      <charset val="204"/>
    </font>
    <font>
      <b/>
      <sz val="8"/>
      <color theme="0"/>
      <name val="Arial Cyr"/>
      <charset val="204"/>
    </font>
    <font>
      <b/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color theme="0"/>
      <name val="Arial Cyr"/>
      <family val="2"/>
      <charset val="204"/>
    </font>
    <font>
      <sz val="11"/>
      <color theme="0"/>
      <name val="Times New Roman"/>
      <family val="1"/>
    </font>
    <font>
      <b/>
      <sz val="16"/>
      <color theme="0"/>
      <name val="Arial Cyr"/>
      <charset val="204"/>
    </font>
    <font>
      <b/>
      <sz val="12"/>
      <color theme="0"/>
      <name val="Arial Cyr"/>
      <charset val="204"/>
    </font>
    <font>
      <sz val="12"/>
      <color theme="0"/>
      <name val="Arial Cyr"/>
      <charset val="204"/>
    </font>
    <font>
      <sz val="10"/>
      <color theme="0"/>
      <name val="Arial"/>
      <family val="2"/>
      <charset val="204"/>
    </font>
    <font>
      <sz val="10"/>
      <color theme="0"/>
      <name val="Arial Cyr"/>
      <family val="2"/>
      <charset val="204"/>
    </font>
    <font>
      <sz val="8"/>
      <color theme="0"/>
      <name val="Arial Cyr"/>
      <family val="2"/>
      <charset val="204"/>
    </font>
    <font>
      <sz val="10"/>
      <color theme="0"/>
      <name val="Times New Roman"/>
      <family val="1"/>
      <charset val="204"/>
    </font>
    <font>
      <sz val="14"/>
      <color theme="0"/>
      <name val="Calibri"/>
      <family val="2"/>
      <charset val="204"/>
      <scheme val="minor"/>
    </font>
    <font>
      <b/>
      <sz val="9"/>
      <color theme="0"/>
      <name val="Arial Cyr"/>
      <family val="2"/>
      <charset val="204"/>
    </font>
    <font>
      <sz val="8"/>
      <color theme="0"/>
      <name val="Times New Roman"/>
      <family val="1"/>
      <charset val="204"/>
    </font>
    <font>
      <sz val="8"/>
      <color theme="0"/>
      <name val="Calibri"/>
      <family val="2"/>
      <charset val="204"/>
      <scheme val="minor"/>
    </font>
    <font>
      <b/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13">
    <xf numFmtId="0" fontId="0" fillId="0" borderId="0" xfId="0"/>
    <xf numFmtId="0" fontId="0" fillId="2" borderId="0" xfId="0" applyFill="1"/>
    <xf numFmtId="4" fontId="3" fillId="2" borderId="0" xfId="0" applyNumberFormat="1" applyFont="1" applyFill="1"/>
    <xf numFmtId="0" fontId="0" fillId="2" borderId="0" xfId="0" applyFill="1" applyBorder="1"/>
    <xf numFmtId="0" fontId="2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top"/>
    </xf>
    <xf numFmtId="0" fontId="1" fillId="2" borderId="0" xfId="0" applyFont="1" applyFill="1" applyBorder="1"/>
    <xf numFmtId="0" fontId="8" fillId="2" borderId="1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3" fontId="8" fillId="2" borderId="13" xfId="0" applyNumberFormat="1" applyFont="1" applyFill="1" applyBorder="1" applyAlignment="1">
      <alignment horizontal="center"/>
    </xf>
    <xf numFmtId="0" fontId="9" fillId="2" borderId="0" xfId="0" applyFont="1" applyFill="1" applyBorder="1"/>
    <xf numFmtId="0" fontId="11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1" fillId="0" borderId="0" xfId="0" applyFont="1" applyFill="1"/>
    <xf numFmtId="0" fontId="15" fillId="0" borderId="0" xfId="0" applyFont="1" applyFill="1"/>
    <xf numFmtId="0" fontId="15" fillId="0" borderId="0" xfId="0" applyFont="1" applyFill="1" applyAlignment="1">
      <alignment horizontal="left"/>
    </xf>
    <xf numFmtId="0" fontId="18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top"/>
    </xf>
    <xf numFmtId="0" fontId="17" fillId="0" borderId="2" xfId="0" applyFont="1" applyFill="1" applyBorder="1" applyAlignment="1">
      <alignment horizontal="lef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1" fillId="0" borderId="0" xfId="0" applyFont="1" applyFill="1"/>
    <xf numFmtId="4" fontId="27" fillId="0" borderId="0" xfId="0" applyNumberFormat="1" applyFont="1" applyFill="1" applyAlignment="1"/>
    <xf numFmtId="0" fontId="28" fillId="0" borderId="0" xfId="0" applyFont="1" applyFill="1" applyAlignment="1">
      <alignment wrapText="1"/>
    </xf>
    <xf numFmtId="0" fontId="0" fillId="2" borderId="0" xfId="0" applyFont="1" applyFill="1" applyBorder="1"/>
    <xf numFmtId="4" fontId="17" fillId="0" borderId="13" xfId="0" applyNumberFormat="1" applyFont="1" applyFill="1" applyBorder="1" applyAlignment="1">
      <alignment horizontal="right" vertical="center"/>
    </xf>
    <xf numFmtId="0" fontId="17" fillId="0" borderId="17" xfId="0" applyFont="1" applyFill="1" applyBorder="1" applyAlignment="1">
      <alignment horizontal="center" vertical="center"/>
    </xf>
    <xf numFmtId="0" fontId="15" fillId="0" borderId="0" xfId="0" applyFont="1" applyFill="1" applyBorder="1"/>
    <xf numFmtId="0" fontId="32" fillId="0" borderId="13" xfId="0" applyFont="1" applyFill="1" applyBorder="1" applyAlignment="1">
      <alignment horizontal="center" vertical="center"/>
    </xf>
    <xf numFmtId="0" fontId="27" fillId="0" borderId="0" xfId="0" applyFont="1" applyFill="1"/>
    <xf numFmtId="4" fontId="33" fillId="0" borderId="0" xfId="0" applyNumberFormat="1" applyFont="1" applyFill="1"/>
    <xf numFmtId="4" fontId="34" fillId="0" borderId="0" xfId="0" applyNumberFormat="1" applyFont="1" applyFill="1"/>
    <xf numFmtId="4" fontId="21" fillId="0" borderId="0" xfId="0" applyNumberFormat="1" applyFont="1" applyFill="1"/>
    <xf numFmtId="4" fontId="17" fillId="0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left" vertical="center" wrapText="1"/>
    </xf>
    <xf numFmtId="4" fontId="40" fillId="0" borderId="0" xfId="0" applyNumberFormat="1" applyFont="1" applyFill="1" applyBorder="1" applyAlignment="1">
      <alignment horizontal="right" vertical="center"/>
    </xf>
    <xf numFmtId="4" fontId="41" fillId="2" borderId="0" xfId="0" applyNumberFormat="1" applyFont="1" applyFill="1"/>
    <xf numFmtId="4" fontId="39" fillId="2" borderId="0" xfId="0" applyNumberFormat="1" applyFont="1" applyFill="1"/>
    <xf numFmtId="0" fontId="39" fillId="2" borderId="0" xfId="0" applyFont="1" applyFill="1"/>
    <xf numFmtId="0" fontId="43" fillId="0" borderId="21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center" vertical="center"/>
    </xf>
    <xf numFmtId="0" fontId="42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right" vertical="center"/>
    </xf>
    <xf numFmtId="4" fontId="44" fillId="0" borderId="13" xfId="0" applyNumberFormat="1" applyFont="1" applyFill="1" applyBorder="1" applyAlignment="1">
      <alignment horizontal="right" vertical="center"/>
    </xf>
    <xf numFmtId="4" fontId="46" fillId="0" borderId="13" xfId="0" applyNumberFormat="1" applyFont="1" applyFill="1" applyBorder="1" applyAlignment="1">
      <alignment horizontal="right" vertical="center"/>
    </xf>
    <xf numFmtId="4" fontId="42" fillId="0" borderId="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center"/>
    </xf>
    <xf numFmtId="4" fontId="44" fillId="0" borderId="2" xfId="0" applyNumberFormat="1" applyFont="1" applyFill="1" applyBorder="1" applyAlignment="1">
      <alignment horizontal="right" vertical="center"/>
    </xf>
    <xf numFmtId="0" fontId="45" fillId="0" borderId="13" xfId="0" applyFont="1" applyFill="1" applyBorder="1"/>
    <xf numFmtId="3" fontId="3" fillId="0" borderId="14" xfId="0" applyNumberFormat="1" applyFont="1" applyFill="1" applyBorder="1" applyAlignment="1">
      <alignment horizontal="center"/>
    </xf>
    <xf numFmtId="3" fontId="3" fillId="0" borderId="18" xfId="0" applyNumberFormat="1" applyFont="1" applyFill="1" applyBorder="1" applyAlignment="1">
      <alignment horizontal="center"/>
    </xf>
    <xf numFmtId="3" fontId="3" fillId="0" borderId="19" xfId="0" applyNumberFormat="1" applyFont="1" applyFill="1" applyBorder="1" applyAlignment="1">
      <alignment horizontal="center"/>
    </xf>
    <xf numFmtId="3" fontId="3" fillId="0" borderId="12" xfId="0" applyNumberFormat="1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vertical="center" wrapText="1"/>
    </xf>
    <xf numFmtId="0" fontId="45" fillId="0" borderId="12" xfId="0" applyFont="1" applyFill="1" applyBorder="1" applyAlignment="1">
      <alignment vertical="center" wrapText="1"/>
    </xf>
    <xf numFmtId="4" fontId="42" fillId="0" borderId="13" xfId="0" applyNumberFormat="1" applyFont="1" applyFill="1" applyBorder="1" applyAlignment="1">
      <alignment horizontal="right" vertical="center"/>
    </xf>
    <xf numFmtId="4" fontId="10" fillId="0" borderId="13" xfId="0" applyNumberFormat="1" applyFont="1" applyFill="1" applyBorder="1" applyAlignment="1">
      <alignment horizontal="right" vertical="center"/>
    </xf>
    <xf numFmtId="4" fontId="10" fillId="0" borderId="14" xfId="0" applyNumberFormat="1" applyFont="1" applyFill="1" applyBorder="1" applyAlignment="1">
      <alignment horizontal="right" vertical="center"/>
    </xf>
    <xf numFmtId="4" fontId="10" fillId="0" borderId="19" xfId="0" applyNumberFormat="1" applyFont="1" applyFill="1" applyBorder="1" applyAlignment="1">
      <alignment horizontal="right" vertical="center"/>
    </xf>
    <xf numFmtId="4" fontId="47" fillId="0" borderId="13" xfId="0" applyNumberFormat="1" applyFont="1" applyFill="1" applyBorder="1" applyAlignment="1">
      <alignment horizontal="right" vertical="center"/>
    </xf>
    <xf numFmtId="1" fontId="17" fillId="0" borderId="13" xfId="0" applyNumberFormat="1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4" fontId="10" fillId="0" borderId="12" xfId="0" applyNumberFormat="1" applyFont="1" applyFill="1" applyBorder="1" applyAlignment="1">
      <alignment horizontal="right" vertic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center" vertical="center"/>
    </xf>
    <xf numFmtId="0" fontId="9" fillId="0" borderId="0" xfId="0" applyFont="1" applyFill="1" applyBorder="1"/>
    <xf numFmtId="4" fontId="42" fillId="0" borderId="6" xfId="0" applyNumberFormat="1" applyFont="1" applyFill="1" applyBorder="1" applyAlignment="1">
      <alignment horizontal="right" vertical="center"/>
    </xf>
    <xf numFmtId="4" fontId="44" fillId="0" borderId="12" xfId="0" applyNumberFormat="1" applyFont="1" applyFill="1" applyBorder="1" applyAlignment="1">
      <alignment horizontal="right" vertical="center"/>
    </xf>
    <xf numFmtId="4" fontId="48" fillId="0" borderId="13" xfId="0" applyNumberFormat="1" applyFont="1" applyFill="1" applyBorder="1" applyAlignment="1">
      <alignment horizontal="right" vertical="center"/>
    </xf>
    <xf numFmtId="4" fontId="44" fillId="0" borderId="12" xfId="0" applyNumberFormat="1" applyFont="1" applyFill="1" applyBorder="1" applyAlignment="1">
      <alignment horizontal="right" vertical="center"/>
    </xf>
    <xf numFmtId="4" fontId="44" fillId="0" borderId="14" xfId="0" applyNumberFormat="1" applyFont="1" applyFill="1" applyBorder="1" applyAlignment="1">
      <alignment horizontal="right" vertical="center"/>
    </xf>
    <xf numFmtId="4" fontId="44" fillId="0" borderId="18" xfId="0" applyNumberFormat="1" applyFont="1" applyFill="1" applyBorder="1" applyAlignment="1">
      <alignment horizontal="right" vertical="center"/>
    </xf>
    <xf numFmtId="3" fontId="44" fillId="0" borderId="13" xfId="0" applyNumberFormat="1" applyFont="1" applyFill="1" applyBorder="1" applyAlignment="1">
      <alignment horizontal="center"/>
    </xf>
    <xf numFmtId="4" fontId="44" fillId="0" borderId="19" xfId="0" applyNumberFormat="1" applyFont="1" applyFill="1" applyBorder="1" applyAlignment="1">
      <alignment horizontal="right" vertical="center"/>
    </xf>
    <xf numFmtId="0" fontId="19" fillId="0" borderId="19" xfId="0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9" fillId="0" borderId="0" xfId="0" applyFont="1" applyFill="1"/>
    <xf numFmtId="0" fontId="51" fillId="0" borderId="0" xfId="0" applyFont="1" applyFill="1"/>
    <xf numFmtId="4" fontId="52" fillId="2" borderId="0" xfId="0" applyNumberFormat="1" applyFont="1" applyFill="1"/>
    <xf numFmtId="4" fontId="34" fillId="0" borderId="0" xfId="0" applyNumberFormat="1" applyFont="1" applyFill="1" applyAlignment="1"/>
    <xf numFmtId="0" fontId="53" fillId="0" borderId="0" xfId="0" applyFont="1" applyFill="1" applyAlignment="1">
      <alignment wrapText="1"/>
    </xf>
    <xf numFmtId="0" fontId="39" fillId="2" borderId="0" xfId="0" applyFont="1" applyFill="1" applyBorder="1"/>
    <xf numFmtId="0" fontId="54" fillId="2" borderId="0" xfId="0" applyFont="1" applyFill="1" applyAlignment="1">
      <alignment horizontal="center"/>
    </xf>
    <xf numFmtId="0" fontId="55" fillId="2" borderId="0" xfId="0" applyFont="1" applyFill="1" applyAlignment="1">
      <alignment horizontal="center"/>
    </xf>
    <xf numFmtId="0" fontId="56" fillId="2" borderId="0" xfId="0" applyFont="1" applyFill="1" applyBorder="1" applyAlignment="1">
      <alignment horizontal="center" vertical="top"/>
    </xf>
    <xf numFmtId="0" fontId="57" fillId="2" borderId="0" xfId="0" applyFont="1" applyFill="1" applyBorder="1" applyAlignment="1">
      <alignment horizontal="center" vertical="center" wrapText="1"/>
    </xf>
    <xf numFmtId="0" fontId="58" fillId="2" borderId="0" xfId="0" applyFont="1" applyFill="1" applyBorder="1" applyAlignment="1">
      <alignment horizontal="center" vertical="center" wrapText="1"/>
    </xf>
    <xf numFmtId="3" fontId="59" fillId="2" borderId="0" xfId="0" applyNumberFormat="1" applyFont="1" applyFill="1" applyBorder="1" applyAlignment="1">
      <alignment horizontal="center"/>
    </xf>
    <xf numFmtId="4" fontId="59" fillId="2" borderId="0" xfId="0" applyNumberFormat="1" applyFont="1" applyFill="1" applyBorder="1" applyAlignment="1">
      <alignment horizontal="right" vertical="center"/>
    </xf>
    <xf numFmtId="4" fontId="60" fillId="0" borderId="0" xfId="0" applyNumberFormat="1" applyFont="1" applyFill="1" applyBorder="1" applyAlignment="1">
      <alignment horizontal="center"/>
    </xf>
    <xf numFmtId="0" fontId="61" fillId="0" borderId="0" xfId="0" applyFont="1" applyBorder="1" applyAlignment="1">
      <alignment vertical="center" wrapText="1"/>
    </xf>
    <xf numFmtId="4" fontId="62" fillId="2" borderId="0" xfId="0" applyNumberFormat="1" applyFont="1" applyFill="1" applyBorder="1" applyAlignment="1">
      <alignment horizontal="right" vertical="center"/>
    </xf>
    <xf numFmtId="4" fontId="60" fillId="0" borderId="0" xfId="0" applyNumberFormat="1" applyFont="1" applyFill="1" applyBorder="1" applyAlignment="1">
      <alignment horizontal="right" vertical="center"/>
    </xf>
    <xf numFmtId="4" fontId="63" fillId="0" borderId="0" xfId="0" applyNumberFormat="1" applyFont="1" applyFill="1"/>
    <xf numFmtId="0" fontId="50" fillId="2" borderId="0" xfId="0" applyFont="1" applyFill="1" applyBorder="1"/>
    <xf numFmtId="0" fontId="64" fillId="2" borderId="0" xfId="0" applyFont="1" applyFill="1" applyBorder="1"/>
    <xf numFmtId="4" fontId="40" fillId="0" borderId="0" xfId="0" applyNumberFormat="1" applyFont="1" applyFill="1" applyBorder="1" applyAlignment="1">
      <alignment horizontal="center" vertical="center"/>
    </xf>
    <xf numFmtId="4" fontId="64" fillId="2" borderId="0" xfId="0" applyNumberFormat="1" applyFont="1" applyFill="1" applyBorder="1"/>
    <xf numFmtId="0" fontId="65" fillId="0" borderId="0" xfId="0" applyFont="1" applyFill="1"/>
    <xf numFmtId="0" fontId="66" fillId="0" borderId="0" xfId="0" applyFont="1" applyFill="1"/>
    <xf numFmtId="0" fontId="66" fillId="0" borderId="0" xfId="0" applyFont="1" applyFill="1" applyBorder="1"/>
    <xf numFmtId="0" fontId="34" fillId="0" borderId="0" xfId="0" applyFont="1" applyFill="1"/>
    <xf numFmtId="0" fontId="17" fillId="0" borderId="13" xfId="0" applyFont="1" applyFill="1" applyBorder="1" applyAlignment="1">
      <alignment vertical="center" wrapText="1"/>
    </xf>
    <xf numFmtId="0" fontId="42" fillId="0" borderId="2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17" fillId="0" borderId="2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center" vertical="center"/>
    </xf>
    <xf numFmtId="0" fontId="32" fillId="0" borderId="6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4" fontId="44" fillId="0" borderId="2" xfId="0" applyNumberFormat="1" applyFont="1" applyFill="1" applyBorder="1" applyAlignment="1">
      <alignment horizontal="right" vertical="center"/>
    </xf>
    <xf numFmtId="4" fontId="44" fillId="0" borderId="12" xfId="0" applyNumberFormat="1" applyFont="1" applyFill="1" applyBorder="1" applyAlignment="1">
      <alignment horizontal="right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4" fontId="47" fillId="0" borderId="2" xfId="0" applyNumberFormat="1" applyFont="1" applyFill="1" applyBorder="1" applyAlignment="1">
      <alignment horizontal="right" vertical="center"/>
    </xf>
    <xf numFmtId="4" fontId="47" fillId="0" borderId="6" xfId="0" applyNumberFormat="1" applyFont="1" applyFill="1" applyBorder="1" applyAlignment="1">
      <alignment horizontal="right" vertical="center"/>
    </xf>
    <xf numFmtId="4" fontId="47" fillId="0" borderId="1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left"/>
    </xf>
    <xf numFmtId="4" fontId="10" fillId="0" borderId="2" xfId="0" applyNumberFormat="1" applyFont="1" applyFill="1" applyBorder="1" applyAlignment="1">
      <alignment horizontal="right" vertical="center"/>
    </xf>
    <xf numFmtId="4" fontId="10" fillId="0" borderId="6" xfId="0" applyNumberFormat="1" applyFont="1" applyFill="1" applyBorder="1" applyAlignment="1">
      <alignment horizontal="right" vertical="center"/>
    </xf>
    <xf numFmtId="4" fontId="10" fillId="0" borderId="12" xfId="0" applyNumberFormat="1" applyFont="1" applyFill="1" applyBorder="1" applyAlignment="1">
      <alignment horizontal="right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horizontal="center" vertical="center"/>
    </xf>
    <xf numFmtId="0" fontId="45" fillId="0" borderId="2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left" vertical="center"/>
    </xf>
    <xf numFmtId="0" fontId="31" fillId="2" borderId="2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>
      <alignment horizontal="center" vertical="center" wrapText="1"/>
    </xf>
    <xf numFmtId="0" fontId="31" fillId="2" borderId="1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3" fillId="0" borderId="12" xfId="0" applyNumberFormat="1" applyFont="1" applyFill="1" applyBorder="1" applyAlignment="1">
      <alignment horizontal="right" vertical="center"/>
    </xf>
    <xf numFmtId="4" fontId="13" fillId="0" borderId="3" xfId="0" applyNumberFormat="1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12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textRotation="90" wrapText="1"/>
    </xf>
    <xf numFmtId="0" fontId="25" fillId="2" borderId="6" xfId="0" applyFont="1" applyFill="1" applyBorder="1" applyAlignment="1">
      <alignment horizontal="center" vertical="center" textRotation="90" wrapText="1"/>
    </xf>
    <xf numFmtId="0" fontId="25" fillId="2" borderId="12" xfId="0" applyFont="1" applyFill="1" applyBorder="1" applyAlignment="1">
      <alignment horizontal="center" vertical="center" textRotation="90" wrapText="1"/>
    </xf>
    <xf numFmtId="0" fontId="26" fillId="2" borderId="3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3" fontId="30" fillId="0" borderId="22" xfId="0" applyNumberFormat="1" applyFont="1" applyFill="1" applyBorder="1" applyAlignment="1">
      <alignment horizontal="center"/>
    </xf>
    <xf numFmtId="3" fontId="30" fillId="0" borderId="0" xfId="0" applyNumberFormat="1" applyFont="1" applyFill="1" applyBorder="1" applyAlignment="1">
      <alignment horizontal="center"/>
    </xf>
    <xf numFmtId="0" fontId="17" fillId="0" borderId="6" xfId="0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right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6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44" fillId="0" borderId="20" xfId="0" applyNumberFormat="1" applyFont="1" applyFill="1" applyBorder="1" applyAlignment="1">
      <alignment horizontal="right" vertical="center"/>
    </xf>
    <xf numFmtId="4" fontId="44" fillId="0" borderId="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U225"/>
  <sheetViews>
    <sheetView tabSelected="1" topLeftCell="A4" zoomScaleNormal="100" workbookViewId="0">
      <selection activeCell="B226" sqref="B226:B229"/>
    </sheetView>
  </sheetViews>
  <sheetFormatPr defaultRowHeight="15"/>
  <cols>
    <col min="1" max="1" width="3.7109375" style="1" customWidth="1"/>
    <col min="2" max="2" width="31.140625" style="1" customWidth="1"/>
    <col min="3" max="3" width="5.5703125" style="1" customWidth="1"/>
    <col min="4" max="4" width="14" style="1" customWidth="1"/>
    <col min="5" max="5" width="15" style="1" customWidth="1"/>
    <col min="6" max="6" width="13.7109375" style="1" customWidth="1"/>
    <col min="7" max="7" width="15" style="1" customWidth="1"/>
    <col min="8" max="8" width="11.5703125" style="1" customWidth="1"/>
    <col min="9" max="9" width="13.28515625" style="1" customWidth="1"/>
    <col min="10" max="10" width="11.85546875" style="1" customWidth="1"/>
    <col min="11" max="11" width="13.28515625" style="2" customWidth="1"/>
    <col min="12" max="12" width="14.85546875" style="2" customWidth="1"/>
    <col min="13" max="13" width="17.7109375" style="2" customWidth="1"/>
    <col min="14" max="14" width="16.5703125" style="2" customWidth="1"/>
    <col min="15" max="15" width="15" style="2" customWidth="1"/>
    <col min="16" max="16" width="13" style="2" customWidth="1"/>
    <col min="17" max="17" width="13" style="119" customWidth="1"/>
    <col min="18" max="18" width="9.140625" style="122"/>
    <col min="19" max="16384" width="9.140625" style="3"/>
  </cols>
  <sheetData>
    <row r="1" spans="1:18" hidden="1"/>
    <row r="2" spans="1:18" hidden="1"/>
    <row r="3" spans="1:18" hidden="1"/>
    <row r="4" spans="1:18">
      <c r="F4" s="101" t="s">
        <v>30</v>
      </c>
      <c r="G4" s="102">
        <v>25.911878999999999</v>
      </c>
      <c r="N4" s="42" t="s">
        <v>18</v>
      </c>
      <c r="O4" s="43"/>
      <c r="P4" s="43"/>
      <c r="Q4" s="120"/>
    </row>
    <row r="5" spans="1:18">
      <c r="F5" s="101" t="s">
        <v>23</v>
      </c>
      <c r="G5" s="102">
        <v>29.075718999999999</v>
      </c>
      <c r="N5" s="42" t="s">
        <v>19</v>
      </c>
      <c r="O5" s="44"/>
      <c r="P5" s="44"/>
      <c r="Q5" s="121"/>
    </row>
    <row r="6" spans="1:18" ht="13.5" customHeight="1">
      <c r="F6" s="103" t="s">
        <v>38</v>
      </c>
      <c r="G6" s="102">
        <v>0.25531890000000002</v>
      </c>
      <c r="N6" s="42" t="s">
        <v>20</v>
      </c>
      <c r="O6" s="43"/>
      <c r="P6" s="43"/>
      <c r="Q6" s="120"/>
    </row>
    <row r="7" spans="1:18" ht="15.75">
      <c r="A7" s="182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3"/>
      <c r="M7" s="3"/>
      <c r="N7" s="42" t="s">
        <v>88</v>
      </c>
      <c r="O7" s="45"/>
      <c r="P7" s="45"/>
      <c r="Q7" s="122"/>
    </row>
    <row r="8" spans="1:18" ht="9" customHeight="1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3"/>
      <c r="M8" s="3"/>
      <c r="N8" s="42"/>
      <c r="O8" s="45"/>
      <c r="P8" s="45"/>
      <c r="Q8" s="122"/>
    </row>
    <row r="9" spans="1:18" ht="20.25">
      <c r="A9" s="183" t="s">
        <v>0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23"/>
    </row>
    <row r="10" spans="1:18" s="4" customFormat="1" ht="15.75">
      <c r="A10" s="182" t="s">
        <v>211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24"/>
      <c r="R10" s="135"/>
    </row>
    <row r="11" spans="1:18" ht="18.75">
      <c r="A11" s="17" t="s">
        <v>21</v>
      </c>
      <c r="B11" s="5"/>
      <c r="C11" s="5"/>
      <c r="D11" s="18"/>
      <c r="E11" s="5"/>
      <c r="F11" s="5"/>
      <c r="G11" s="5"/>
      <c r="H11" s="5"/>
      <c r="I11" s="5"/>
      <c r="J11" s="5"/>
      <c r="K11" s="5"/>
      <c r="L11" s="5"/>
      <c r="M11" s="5"/>
      <c r="N11" s="3"/>
      <c r="O11" s="5"/>
      <c r="P11" s="3"/>
      <c r="Q11" s="122"/>
    </row>
    <row r="12" spans="1:18" ht="17.25" customHeight="1">
      <c r="A12" s="17" t="s">
        <v>1</v>
      </c>
      <c r="B12" s="6"/>
      <c r="C12" s="6"/>
      <c r="D12" s="19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125"/>
    </row>
    <row r="13" spans="1:18" ht="15.75" customHeight="1">
      <c r="A13" s="184" t="s">
        <v>2</v>
      </c>
      <c r="B13" s="187" t="s">
        <v>3</v>
      </c>
      <c r="C13" s="190" t="s">
        <v>4</v>
      </c>
      <c r="D13" s="193" t="s">
        <v>5</v>
      </c>
      <c r="E13" s="194"/>
      <c r="F13" s="193" t="s">
        <v>6</v>
      </c>
      <c r="G13" s="197"/>
      <c r="H13" s="197"/>
      <c r="I13" s="197"/>
      <c r="J13" s="197"/>
      <c r="K13" s="197"/>
      <c r="L13" s="193" t="s">
        <v>13</v>
      </c>
      <c r="M13" s="197"/>
      <c r="N13" s="194"/>
      <c r="O13" s="193" t="s">
        <v>16</v>
      </c>
      <c r="P13" s="194"/>
      <c r="Q13" s="126"/>
    </row>
    <row r="14" spans="1:18" ht="51" customHeight="1">
      <c r="A14" s="185"/>
      <c r="B14" s="188"/>
      <c r="C14" s="191"/>
      <c r="D14" s="195"/>
      <c r="E14" s="196"/>
      <c r="F14" s="201" t="s">
        <v>17</v>
      </c>
      <c r="G14" s="202"/>
      <c r="H14" s="201" t="s">
        <v>14</v>
      </c>
      <c r="I14" s="202"/>
      <c r="J14" s="201" t="s">
        <v>15</v>
      </c>
      <c r="K14" s="202"/>
      <c r="L14" s="195"/>
      <c r="M14" s="200"/>
      <c r="N14" s="196"/>
      <c r="O14" s="195"/>
      <c r="P14" s="196"/>
      <c r="Q14" s="126"/>
    </row>
    <row r="15" spans="1:18" ht="28.5" customHeight="1">
      <c r="A15" s="185"/>
      <c r="B15" s="188"/>
      <c r="C15" s="191"/>
      <c r="D15" s="203" t="s">
        <v>11</v>
      </c>
      <c r="E15" s="172" t="s">
        <v>12</v>
      </c>
      <c r="F15" s="203" t="s">
        <v>11</v>
      </c>
      <c r="G15" s="172" t="s">
        <v>12</v>
      </c>
      <c r="H15" s="203" t="s">
        <v>11</v>
      </c>
      <c r="I15" s="172" t="s">
        <v>12</v>
      </c>
      <c r="J15" s="203" t="s">
        <v>11</v>
      </c>
      <c r="K15" s="172" t="s">
        <v>12</v>
      </c>
      <c r="L15" s="184" t="s">
        <v>216</v>
      </c>
      <c r="M15" s="184" t="s">
        <v>217</v>
      </c>
      <c r="N15" s="184" t="s">
        <v>215</v>
      </c>
      <c r="O15" s="172" t="s">
        <v>209</v>
      </c>
      <c r="P15" s="198" t="s">
        <v>210</v>
      </c>
      <c r="Q15" s="127"/>
    </row>
    <row r="16" spans="1:18" s="7" customFormat="1" ht="24.75" customHeight="1">
      <c r="A16" s="185"/>
      <c r="B16" s="188"/>
      <c r="C16" s="191"/>
      <c r="D16" s="198"/>
      <c r="E16" s="173"/>
      <c r="F16" s="198"/>
      <c r="G16" s="173"/>
      <c r="H16" s="198"/>
      <c r="I16" s="173"/>
      <c r="J16" s="198"/>
      <c r="K16" s="173"/>
      <c r="L16" s="198"/>
      <c r="M16" s="198"/>
      <c r="N16" s="198"/>
      <c r="O16" s="173"/>
      <c r="P16" s="198"/>
      <c r="Q16" s="127"/>
      <c r="R16" s="122"/>
    </row>
    <row r="17" spans="1:18" s="7" customFormat="1" ht="30" customHeight="1">
      <c r="A17" s="186"/>
      <c r="B17" s="189"/>
      <c r="C17" s="192"/>
      <c r="D17" s="199"/>
      <c r="E17" s="174"/>
      <c r="F17" s="199"/>
      <c r="G17" s="174"/>
      <c r="H17" s="199"/>
      <c r="I17" s="174"/>
      <c r="J17" s="199"/>
      <c r="K17" s="174"/>
      <c r="L17" s="199"/>
      <c r="M17" s="199"/>
      <c r="N17" s="199"/>
      <c r="O17" s="174"/>
      <c r="P17" s="199"/>
      <c r="Q17" s="127"/>
      <c r="R17" s="122"/>
    </row>
    <row r="18" spans="1:18" s="11" customFormat="1" ht="11.25" customHeight="1">
      <c r="A18" s="69">
        <v>1</v>
      </c>
      <c r="B18" s="8">
        <v>2</v>
      </c>
      <c r="C18" s="9">
        <v>3</v>
      </c>
      <c r="D18" s="9">
        <v>4</v>
      </c>
      <c r="E18" s="9">
        <v>5</v>
      </c>
      <c r="F18" s="9">
        <v>6</v>
      </c>
      <c r="G18" s="9">
        <v>7</v>
      </c>
      <c r="H18" s="9">
        <v>8</v>
      </c>
      <c r="I18" s="9">
        <v>9</v>
      </c>
      <c r="J18" s="9">
        <v>10</v>
      </c>
      <c r="K18" s="10">
        <v>11</v>
      </c>
      <c r="L18" s="10">
        <v>12</v>
      </c>
      <c r="M18" s="10">
        <v>13</v>
      </c>
      <c r="N18" s="10">
        <v>14</v>
      </c>
      <c r="O18" s="10">
        <v>15</v>
      </c>
      <c r="P18" s="10">
        <v>16</v>
      </c>
      <c r="Q18" s="128"/>
      <c r="R18" s="136"/>
    </row>
    <row r="19" spans="1:18" s="11" customFormat="1" ht="12.75">
      <c r="A19" s="58">
        <v>1</v>
      </c>
      <c r="B19" s="99" t="s">
        <v>48</v>
      </c>
      <c r="C19" s="32" t="s">
        <v>23</v>
      </c>
      <c r="D19" s="71">
        <f>F19+H19+J19</f>
        <v>6104049.5899999999</v>
      </c>
      <c r="E19" s="71">
        <f>G19+I19+K19</f>
        <v>177479630.63999999</v>
      </c>
      <c r="F19" s="71">
        <v>6104049.5899999999</v>
      </c>
      <c r="G19" s="72">
        <f>ROUND(F19*G5,2)</f>
        <v>177479630.63999999</v>
      </c>
      <c r="H19" s="75"/>
      <c r="I19" s="75"/>
      <c r="J19" s="75"/>
      <c r="K19" s="76"/>
      <c r="L19" s="76"/>
      <c r="M19" s="76"/>
      <c r="N19" s="76"/>
      <c r="O19" s="72">
        <v>16602698.890000001</v>
      </c>
      <c r="P19" s="76"/>
      <c r="Q19" s="128"/>
      <c r="R19" s="136"/>
    </row>
    <row r="20" spans="1:18" s="11" customFormat="1" ht="12.75">
      <c r="A20" s="58">
        <v>2</v>
      </c>
      <c r="B20" s="22" t="s">
        <v>43</v>
      </c>
      <c r="C20" s="30" t="s">
        <v>30</v>
      </c>
      <c r="D20" s="71">
        <f t="shared" ref="D20" si="0">F20+H20+J20</f>
        <v>54897444.68</v>
      </c>
      <c r="E20" s="71">
        <f t="shared" ref="E20" si="1">G20+I20+K20</f>
        <v>1422495943.96</v>
      </c>
      <c r="F20" s="71">
        <v>54897444.68</v>
      </c>
      <c r="G20" s="72">
        <f>ROUND(F20*G4,2)</f>
        <v>1422495943.96</v>
      </c>
      <c r="H20" s="75"/>
      <c r="I20" s="75"/>
      <c r="J20" s="75"/>
      <c r="K20" s="76"/>
      <c r="L20" s="76"/>
      <c r="M20" s="76"/>
      <c r="N20" s="76"/>
      <c r="O20" s="72">
        <v>488564577.61000001</v>
      </c>
      <c r="P20" s="76"/>
      <c r="Q20" s="128"/>
      <c r="R20" s="136"/>
    </row>
    <row r="21" spans="1:18" s="11" customFormat="1" ht="12.75">
      <c r="A21" s="58">
        <v>3</v>
      </c>
      <c r="B21" s="22" t="s">
        <v>36</v>
      </c>
      <c r="C21" s="21" t="s">
        <v>23</v>
      </c>
      <c r="D21" s="71">
        <f t="shared" ref="D21:D22" si="2">F21+H21+J21</f>
        <v>7567980.7800000003</v>
      </c>
      <c r="E21" s="71">
        <f t="shared" ref="E21:E22" si="3">G21+I21+K21</f>
        <v>220044482.56</v>
      </c>
      <c r="F21" s="71">
        <v>7567980.7800000003</v>
      </c>
      <c r="G21" s="72">
        <f>ROUND(F21*G5,2)</f>
        <v>220044482.56</v>
      </c>
      <c r="H21" s="75"/>
      <c r="I21" s="75"/>
      <c r="J21" s="75"/>
      <c r="K21" s="76"/>
      <c r="L21" s="76"/>
      <c r="M21" s="76"/>
      <c r="N21" s="76"/>
      <c r="O21" s="72">
        <v>64477909.479999997</v>
      </c>
      <c r="P21" s="76"/>
      <c r="Q21" s="128"/>
      <c r="R21" s="136"/>
    </row>
    <row r="22" spans="1:18" s="11" customFormat="1" ht="12.75">
      <c r="A22" s="58">
        <v>4</v>
      </c>
      <c r="B22" s="22" t="s">
        <v>39</v>
      </c>
      <c r="C22" s="21" t="s">
        <v>30</v>
      </c>
      <c r="D22" s="71">
        <f t="shared" si="2"/>
        <v>17041897.23</v>
      </c>
      <c r="E22" s="71">
        <f t="shared" si="3"/>
        <v>441587578.94999999</v>
      </c>
      <c r="F22" s="71">
        <v>17041897.23</v>
      </c>
      <c r="G22" s="72">
        <f>ROUND(F22*G4,2)</f>
        <v>441587578.94999999</v>
      </c>
      <c r="H22" s="75"/>
      <c r="I22" s="75"/>
      <c r="J22" s="75"/>
      <c r="K22" s="76"/>
      <c r="L22" s="76"/>
      <c r="M22" s="76"/>
      <c r="N22" s="76"/>
      <c r="O22" s="72">
        <v>211672676.90000001</v>
      </c>
      <c r="P22" s="76"/>
      <c r="Q22" s="128"/>
      <c r="R22" s="136"/>
    </row>
    <row r="23" spans="1:18" s="11" customFormat="1" ht="12.75">
      <c r="A23" s="58">
        <v>5</v>
      </c>
      <c r="B23" s="22" t="s">
        <v>35</v>
      </c>
      <c r="C23" s="23" t="s">
        <v>30</v>
      </c>
      <c r="D23" s="71">
        <f>F23+H23</f>
        <v>78341785.129999995</v>
      </c>
      <c r="E23" s="71">
        <f>G23</f>
        <v>2029982856.9300001</v>
      </c>
      <c r="F23" s="71">
        <v>78341785.129999995</v>
      </c>
      <c r="G23" s="72">
        <f>ROUND(F23*G4,2)</f>
        <v>2029982856.9300001</v>
      </c>
      <c r="H23" s="75"/>
      <c r="I23" s="75"/>
      <c r="J23" s="75"/>
      <c r="K23" s="76"/>
      <c r="L23" s="76"/>
      <c r="M23" s="76"/>
      <c r="N23" s="76"/>
      <c r="O23" s="72">
        <v>577046325.96000004</v>
      </c>
      <c r="P23" s="76"/>
      <c r="Q23" s="128"/>
      <c r="R23" s="136"/>
    </row>
    <row r="24" spans="1:18" s="11" customFormat="1" ht="25.5">
      <c r="A24" s="96">
        <v>6</v>
      </c>
      <c r="B24" s="20" t="s">
        <v>22</v>
      </c>
      <c r="C24" s="92" t="s">
        <v>23</v>
      </c>
      <c r="D24" s="94">
        <f>F24+H24+J24</f>
        <v>133129804.64</v>
      </c>
      <c r="E24" s="94">
        <f>G24+I24+K24</f>
        <v>3870844790.2399998</v>
      </c>
      <c r="F24" s="94">
        <v>133129804.64</v>
      </c>
      <c r="G24" s="77">
        <f>ROUND(F24*G5,2)</f>
        <v>3870844790.2399998</v>
      </c>
      <c r="H24" s="75"/>
      <c r="I24" s="75"/>
      <c r="J24" s="75"/>
      <c r="K24" s="76"/>
      <c r="L24" s="76"/>
      <c r="M24" s="76"/>
      <c r="N24" s="104"/>
      <c r="O24" s="72">
        <v>749334187</v>
      </c>
      <c r="P24" s="76"/>
      <c r="Q24" s="128"/>
      <c r="R24" s="136"/>
    </row>
    <row r="25" spans="1:18" s="11" customFormat="1" ht="12.75">
      <c r="A25" s="96">
        <v>7</v>
      </c>
      <c r="B25" s="22" t="s">
        <v>32</v>
      </c>
      <c r="C25" s="21" t="s">
        <v>23</v>
      </c>
      <c r="D25" s="94">
        <f t="shared" ref="D25:D26" si="4">F25+H25+J25</f>
        <v>170337552.91</v>
      </c>
      <c r="E25" s="94">
        <f t="shared" ref="E25:E26" si="5">G25+I25+K25</f>
        <v>4952686823.5600004</v>
      </c>
      <c r="F25" s="94">
        <v>170337552.91</v>
      </c>
      <c r="G25" s="77">
        <f>ROUND(F25*G5,2)</f>
        <v>4952686823.5600004</v>
      </c>
      <c r="H25" s="78"/>
      <c r="I25" s="75"/>
      <c r="J25" s="75"/>
      <c r="K25" s="76"/>
      <c r="L25" s="76"/>
      <c r="M25" s="76"/>
      <c r="N25" s="76"/>
      <c r="O25" s="72">
        <v>249480699.81</v>
      </c>
      <c r="P25" s="76"/>
      <c r="Q25" s="128"/>
      <c r="R25" s="136"/>
    </row>
    <row r="26" spans="1:18" s="11" customFormat="1" ht="54" customHeight="1">
      <c r="A26" s="144">
        <v>8</v>
      </c>
      <c r="B26" s="61" t="s">
        <v>116</v>
      </c>
      <c r="C26" s="175" t="s">
        <v>23</v>
      </c>
      <c r="D26" s="177">
        <f t="shared" si="4"/>
        <v>3061325.18</v>
      </c>
      <c r="E26" s="177">
        <f t="shared" si="5"/>
        <v>89010230.700000003</v>
      </c>
      <c r="F26" s="177">
        <v>3061325.18</v>
      </c>
      <c r="G26" s="177">
        <f>ROUND(F26*G5,2)</f>
        <v>89010230.700000003</v>
      </c>
      <c r="H26" s="208"/>
      <c r="I26" s="208"/>
      <c r="J26" s="208"/>
      <c r="K26" s="208"/>
      <c r="L26" s="79"/>
      <c r="M26" s="79"/>
      <c r="N26" s="79"/>
      <c r="O26" s="109">
        <v>34020783.75</v>
      </c>
      <c r="P26" s="79"/>
      <c r="Q26" s="128"/>
      <c r="R26" s="136"/>
    </row>
    <row r="27" spans="1:18" s="11" customFormat="1" ht="25.5">
      <c r="A27" s="167"/>
      <c r="B27" s="113" t="s">
        <v>114</v>
      </c>
      <c r="C27" s="206"/>
      <c r="D27" s="207"/>
      <c r="E27" s="207"/>
      <c r="F27" s="207"/>
      <c r="G27" s="207"/>
      <c r="H27" s="209"/>
      <c r="I27" s="209"/>
      <c r="J27" s="209"/>
      <c r="K27" s="209"/>
      <c r="L27" s="80"/>
      <c r="M27" s="80"/>
      <c r="N27" s="80"/>
      <c r="O27" s="211">
        <v>30344556</v>
      </c>
      <c r="P27" s="80"/>
      <c r="Q27" s="128"/>
      <c r="R27" s="136"/>
    </row>
    <row r="28" spans="1:18" s="11" customFormat="1" ht="25.5">
      <c r="A28" s="167"/>
      <c r="B28" s="113" t="s">
        <v>113</v>
      </c>
      <c r="C28" s="206"/>
      <c r="D28" s="207"/>
      <c r="E28" s="207"/>
      <c r="F28" s="207"/>
      <c r="G28" s="207"/>
      <c r="H28" s="209"/>
      <c r="I28" s="209"/>
      <c r="J28" s="209"/>
      <c r="K28" s="209"/>
      <c r="L28" s="81"/>
      <c r="M28" s="81"/>
      <c r="N28" s="81"/>
      <c r="O28" s="212"/>
      <c r="P28" s="81"/>
      <c r="Q28" s="128"/>
      <c r="R28" s="136"/>
    </row>
    <row r="29" spans="1:18" s="11" customFormat="1" ht="25.5">
      <c r="A29" s="145"/>
      <c r="B29" s="114" t="s">
        <v>115</v>
      </c>
      <c r="C29" s="176"/>
      <c r="D29" s="178"/>
      <c r="E29" s="178"/>
      <c r="F29" s="178"/>
      <c r="G29" s="178"/>
      <c r="H29" s="210"/>
      <c r="I29" s="210"/>
      <c r="J29" s="210"/>
      <c r="K29" s="210"/>
      <c r="L29" s="82"/>
      <c r="M29" s="82"/>
      <c r="N29" s="82"/>
      <c r="O29" s="153"/>
      <c r="P29" s="82"/>
      <c r="Q29" s="128"/>
      <c r="R29" s="136"/>
    </row>
    <row r="30" spans="1:18" s="11" customFormat="1" ht="16.5" customHeight="1">
      <c r="A30" s="144">
        <v>9</v>
      </c>
      <c r="B30" s="25" t="s">
        <v>33</v>
      </c>
      <c r="C30" s="26" t="s">
        <v>30</v>
      </c>
      <c r="D30" s="71">
        <f>F30+H30+J30</f>
        <v>4405879</v>
      </c>
      <c r="E30" s="71">
        <f>G30+I30+K30</f>
        <v>114164603.53</v>
      </c>
      <c r="F30" s="71">
        <v>3790162.23</v>
      </c>
      <c r="G30" s="72">
        <f>ROUND(F30*G4,2)</f>
        <v>98210225.090000004</v>
      </c>
      <c r="H30" s="78"/>
      <c r="I30" s="75"/>
      <c r="J30" s="71">
        <v>615716.77</v>
      </c>
      <c r="K30" s="72">
        <f>ROUND(J30*G4,2)</f>
        <v>15954378.439999999</v>
      </c>
      <c r="L30" s="76"/>
      <c r="M30" s="76"/>
      <c r="N30" s="76"/>
      <c r="O30" s="72">
        <v>106807959.36</v>
      </c>
      <c r="P30" s="76"/>
      <c r="Q30" s="128"/>
      <c r="R30" s="136"/>
    </row>
    <row r="31" spans="1:18" s="11" customFormat="1" ht="27" customHeight="1">
      <c r="A31" s="145"/>
      <c r="B31" s="27" t="s">
        <v>213</v>
      </c>
      <c r="C31" s="28" t="s">
        <v>30</v>
      </c>
      <c r="D31" s="71">
        <f>F31+H31</f>
        <v>630300.91</v>
      </c>
      <c r="E31" s="71">
        <f>G31+I31+K31</f>
        <v>16332280.91</v>
      </c>
      <c r="F31" s="71">
        <v>630300.91</v>
      </c>
      <c r="G31" s="72">
        <f>ROUND(F31*G4,2)</f>
        <v>16332280.91</v>
      </c>
      <c r="H31" s="78"/>
      <c r="I31" s="75"/>
      <c r="J31" s="75"/>
      <c r="K31" s="76"/>
      <c r="L31" s="76"/>
      <c r="M31" s="76"/>
      <c r="N31" s="76"/>
      <c r="O31" s="72">
        <v>12584353.939999999</v>
      </c>
      <c r="P31" s="76"/>
      <c r="Q31" s="128"/>
      <c r="R31" s="136"/>
    </row>
    <row r="32" spans="1:18" s="11" customFormat="1" ht="108" customHeight="1">
      <c r="A32" s="96">
        <v>10</v>
      </c>
      <c r="B32" s="61" t="s">
        <v>112</v>
      </c>
      <c r="C32" s="92" t="s">
        <v>40</v>
      </c>
      <c r="D32" s="71"/>
      <c r="E32" s="71">
        <f>G32</f>
        <v>8057220.71</v>
      </c>
      <c r="F32" s="71"/>
      <c r="G32" s="71">
        <v>8057220.71</v>
      </c>
      <c r="H32" s="78"/>
      <c r="I32" s="75"/>
      <c r="J32" s="75"/>
      <c r="K32" s="76"/>
      <c r="L32" s="76"/>
      <c r="M32" s="76"/>
      <c r="N32" s="76"/>
      <c r="O32" s="109">
        <v>11329562.380000001</v>
      </c>
      <c r="P32" s="76"/>
      <c r="Q32" s="128"/>
      <c r="R32" s="136"/>
    </row>
    <row r="33" spans="1:18" s="11" customFormat="1" ht="18" customHeight="1">
      <c r="A33" s="96">
        <v>11</v>
      </c>
      <c r="B33" s="24" t="s">
        <v>41</v>
      </c>
      <c r="C33" s="21" t="s">
        <v>23</v>
      </c>
      <c r="D33" s="71">
        <f>F33+H33+J33</f>
        <v>16048822.68</v>
      </c>
      <c r="E33" s="71">
        <f>G33+I33+K33</f>
        <v>466631058.52999997</v>
      </c>
      <c r="F33" s="71">
        <v>15209289.32</v>
      </c>
      <c r="G33" s="72">
        <f>ROUND(F33*G5,2)</f>
        <v>442221022.45999998</v>
      </c>
      <c r="H33" s="78"/>
      <c r="I33" s="75"/>
      <c r="J33" s="71">
        <v>839533.36</v>
      </c>
      <c r="K33" s="72">
        <f>ROUND(J33*G5,2)</f>
        <v>24410036.07</v>
      </c>
      <c r="L33" s="76"/>
      <c r="M33" s="76"/>
      <c r="N33" s="76"/>
      <c r="O33" s="72">
        <f>48924204.39+205266875.91</f>
        <v>254191080.30000001</v>
      </c>
      <c r="P33" s="76"/>
      <c r="Q33" s="204"/>
      <c r="R33" s="205"/>
    </row>
    <row r="34" spans="1:18" s="11" customFormat="1" ht="25.5">
      <c r="A34" s="96">
        <v>12</v>
      </c>
      <c r="B34" s="24" t="s">
        <v>34</v>
      </c>
      <c r="C34" s="23" t="s">
        <v>30</v>
      </c>
      <c r="D34" s="71">
        <f>F34+H34+J34</f>
        <v>6646027.4900000002</v>
      </c>
      <c r="E34" s="71">
        <f>G34+I34+K34</f>
        <v>172211060.15000001</v>
      </c>
      <c r="F34" s="71">
        <v>5737687.1600000001</v>
      </c>
      <c r="G34" s="72">
        <f>ROUND(F34*G4,2)</f>
        <v>148674255.43000001</v>
      </c>
      <c r="H34" s="78"/>
      <c r="I34" s="75"/>
      <c r="J34" s="71">
        <v>908340.33</v>
      </c>
      <c r="K34" s="72">
        <f>ROUND(J34*G4,2)</f>
        <v>23536804.719999999</v>
      </c>
      <c r="L34" s="76"/>
      <c r="M34" s="76"/>
      <c r="N34" s="76"/>
      <c r="O34" s="72">
        <f>357947.15+880341.73</f>
        <v>1238288.8799999999</v>
      </c>
      <c r="P34" s="76"/>
      <c r="Q34" s="128"/>
      <c r="R34" s="136"/>
    </row>
    <row r="35" spans="1:18" s="11" customFormat="1" ht="17.25" customHeight="1">
      <c r="A35" s="96">
        <v>13</v>
      </c>
      <c r="B35" s="22" t="s">
        <v>29</v>
      </c>
      <c r="C35" s="23" t="s">
        <v>30</v>
      </c>
      <c r="D35" s="71">
        <f>F35+H35</f>
        <v>26099577.210000001</v>
      </c>
      <c r="E35" s="71">
        <f t="shared" ref="E35:E40" si="6">G35</f>
        <v>676289086.62</v>
      </c>
      <c r="F35" s="71">
        <v>26099577.210000001</v>
      </c>
      <c r="G35" s="72">
        <f>ROUND(F35*G4,2)</f>
        <v>676289086.62</v>
      </c>
      <c r="H35" s="78"/>
      <c r="I35" s="75"/>
      <c r="J35" s="75"/>
      <c r="K35" s="76"/>
      <c r="L35" s="76"/>
      <c r="M35" s="76"/>
      <c r="N35" s="76"/>
      <c r="O35" s="72">
        <v>278495295.39999998</v>
      </c>
      <c r="P35" s="76"/>
      <c r="Q35" s="128"/>
      <c r="R35" s="136"/>
    </row>
    <row r="36" spans="1:18" s="11" customFormat="1" ht="40.5" customHeight="1">
      <c r="A36" s="96">
        <v>14</v>
      </c>
      <c r="B36" s="24" t="s">
        <v>31</v>
      </c>
      <c r="C36" s="23" t="s">
        <v>30</v>
      </c>
      <c r="D36" s="71">
        <f>F36+H36</f>
        <v>68495844.120000005</v>
      </c>
      <c r="E36" s="71">
        <f t="shared" si="6"/>
        <v>1774856024.8399999</v>
      </c>
      <c r="F36" s="71">
        <v>68495844.120000005</v>
      </c>
      <c r="G36" s="72">
        <f>ROUND(F36*G4,2)</f>
        <v>1774856024.8399999</v>
      </c>
      <c r="H36" s="78"/>
      <c r="I36" s="75"/>
      <c r="J36" s="75"/>
      <c r="K36" s="76"/>
      <c r="L36" s="76"/>
      <c r="M36" s="76"/>
      <c r="N36" s="76"/>
      <c r="O36" s="72">
        <v>290125389.38999999</v>
      </c>
      <c r="P36" s="76"/>
      <c r="Q36" s="128"/>
      <c r="R36" s="136"/>
    </row>
    <row r="37" spans="1:18" s="11" customFormat="1" ht="25.5">
      <c r="A37" s="96">
        <v>15</v>
      </c>
      <c r="B37" s="20" t="s">
        <v>27</v>
      </c>
      <c r="C37" s="92" t="s">
        <v>23</v>
      </c>
      <c r="D37" s="71">
        <f>F37+H37</f>
        <v>29438487.109999999</v>
      </c>
      <c r="E37" s="71">
        <f t="shared" si="6"/>
        <v>855945179</v>
      </c>
      <c r="F37" s="71">
        <v>29438487.109999999</v>
      </c>
      <c r="G37" s="72">
        <f>ROUND(F37*G5,2)</f>
        <v>855945179</v>
      </c>
      <c r="H37" s="78"/>
      <c r="I37" s="75"/>
      <c r="J37" s="75"/>
      <c r="K37" s="76"/>
      <c r="L37" s="76"/>
      <c r="M37" s="76"/>
      <c r="N37" s="76"/>
      <c r="O37" s="72">
        <v>337819841.94</v>
      </c>
      <c r="P37" s="76"/>
      <c r="Q37" s="128"/>
      <c r="R37" s="136"/>
    </row>
    <row r="38" spans="1:18" s="11" customFormat="1" ht="18" customHeight="1">
      <c r="A38" s="96">
        <v>16</v>
      </c>
      <c r="B38" s="34" t="s">
        <v>52</v>
      </c>
      <c r="C38" s="29" t="s">
        <v>40</v>
      </c>
      <c r="D38" s="71"/>
      <c r="E38" s="71">
        <f t="shared" si="6"/>
        <v>77607290.909999996</v>
      </c>
      <c r="F38" s="71"/>
      <c r="G38" s="71">
        <v>77607290.909999996</v>
      </c>
      <c r="H38" s="78"/>
      <c r="I38" s="75"/>
      <c r="J38" s="75"/>
      <c r="K38" s="76"/>
      <c r="L38" s="76"/>
      <c r="M38" s="76"/>
      <c r="N38" s="76"/>
      <c r="O38" s="72">
        <v>63088365.310000002</v>
      </c>
      <c r="P38" s="76"/>
      <c r="Q38" s="128"/>
      <c r="R38" s="136"/>
    </row>
    <row r="39" spans="1:18" s="11" customFormat="1" ht="19.5" customHeight="1">
      <c r="A39" s="96">
        <v>17</v>
      </c>
      <c r="B39" s="34" t="s">
        <v>56</v>
      </c>
      <c r="C39" s="29" t="s">
        <v>30</v>
      </c>
      <c r="D39" s="71">
        <f>F39+H39</f>
        <v>20040639.030000001</v>
      </c>
      <c r="E39" s="71">
        <f t="shared" si="6"/>
        <v>519290613.63</v>
      </c>
      <c r="F39" s="71">
        <v>20040639.030000001</v>
      </c>
      <c r="G39" s="72">
        <f>ROUND(F39*G4,2)</f>
        <v>519290613.63</v>
      </c>
      <c r="H39" s="78"/>
      <c r="I39" s="75"/>
      <c r="J39" s="75"/>
      <c r="K39" s="76"/>
      <c r="L39" s="76"/>
      <c r="M39" s="76"/>
      <c r="N39" s="76"/>
      <c r="O39" s="72">
        <v>49906690.289999999</v>
      </c>
      <c r="P39" s="76"/>
      <c r="Q39" s="128"/>
      <c r="R39" s="136"/>
    </row>
    <row r="40" spans="1:18" s="11" customFormat="1" ht="25.5">
      <c r="A40" s="96">
        <v>18</v>
      </c>
      <c r="B40" s="34" t="s">
        <v>89</v>
      </c>
      <c r="C40" s="29" t="s">
        <v>30</v>
      </c>
      <c r="D40" s="71">
        <f>F40+H40</f>
        <v>10082244.15</v>
      </c>
      <c r="E40" s="71">
        <f t="shared" si="6"/>
        <v>261249890.46000001</v>
      </c>
      <c r="F40" s="71">
        <v>10082244.15</v>
      </c>
      <c r="G40" s="72">
        <f>ROUND(F40*G4,2)</f>
        <v>261249890.46000001</v>
      </c>
      <c r="H40" s="78"/>
      <c r="I40" s="75"/>
      <c r="J40" s="75"/>
      <c r="K40" s="76"/>
      <c r="L40" s="76"/>
      <c r="M40" s="76"/>
      <c r="N40" s="76"/>
      <c r="O40" s="72">
        <v>41451575.039999999</v>
      </c>
      <c r="P40" s="76"/>
      <c r="Q40" s="128"/>
      <c r="R40" s="136"/>
    </row>
    <row r="41" spans="1:18" s="11" customFormat="1" ht="38.25">
      <c r="A41" s="96">
        <v>19</v>
      </c>
      <c r="B41" s="34" t="s">
        <v>129</v>
      </c>
      <c r="C41" s="29" t="s">
        <v>23</v>
      </c>
      <c r="D41" s="71">
        <f>F41+H41+J41</f>
        <v>0</v>
      </c>
      <c r="E41" s="71">
        <f>G41+I41+K41</f>
        <v>0</v>
      </c>
      <c r="F41" s="71"/>
      <c r="G41" s="72"/>
      <c r="H41" s="78"/>
      <c r="I41" s="75"/>
      <c r="J41" s="71">
        <v>0</v>
      </c>
      <c r="K41" s="72">
        <f>ROUND(J41*G5,2)</f>
        <v>0</v>
      </c>
      <c r="L41" s="76"/>
      <c r="M41" s="76"/>
      <c r="N41" s="76"/>
      <c r="O41" s="72">
        <v>0</v>
      </c>
      <c r="P41" s="76"/>
      <c r="Q41" s="128"/>
      <c r="R41" s="136"/>
    </row>
    <row r="42" spans="1:18" s="11" customFormat="1" ht="51.75" customHeight="1">
      <c r="A42" s="96">
        <v>20</v>
      </c>
      <c r="B42" s="24" t="s">
        <v>47</v>
      </c>
      <c r="C42" s="29" t="s">
        <v>23</v>
      </c>
      <c r="D42" s="71">
        <f>F42+H42</f>
        <v>3990620.06</v>
      </c>
      <c r="E42" s="71">
        <f>G42</f>
        <v>116030147.5</v>
      </c>
      <c r="F42" s="71">
        <v>3990620.06</v>
      </c>
      <c r="G42" s="72">
        <f>ROUND(F42*G5,2)</f>
        <v>116030147.5</v>
      </c>
      <c r="H42" s="78"/>
      <c r="I42" s="75"/>
      <c r="J42" s="75"/>
      <c r="K42" s="76"/>
      <c r="L42" s="76"/>
      <c r="M42" s="76"/>
      <c r="N42" s="76"/>
      <c r="O42" s="72">
        <v>9021661.3800000008</v>
      </c>
      <c r="P42" s="76"/>
      <c r="Q42" s="128"/>
      <c r="R42" s="136"/>
    </row>
    <row r="43" spans="1:18" s="11" customFormat="1" ht="38.25">
      <c r="A43" s="144">
        <v>21</v>
      </c>
      <c r="B43" s="61" t="s">
        <v>108</v>
      </c>
      <c r="C43" s="175" t="s">
        <v>23</v>
      </c>
      <c r="D43" s="177">
        <f>F43+H43</f>
        <v>3643897.15</v>
      </c>
      <c r="E43" s="177">
        <f>G43</f>
        <v>105948929.59999999</v>
      </c>
      <c r="F43" s="177">
        <v>3643897.15</v>
      </c>
      <c r="G43" s="152">
        <f>ROUND(F43*G5,2)</f>
        <v>105948929.59999999</v>
      </c>
      <c r="H43" s="168"/>
      <c r="I43" s="168"/>
      <c r="J43" s="168"/>
      <c r="K43" s="168"/>
      <c r="L43" s="79"/>
      <c r="M43" s="79"/>
      <c r="N43" s="79"/>
      <c r="O43" s="109">
        <v>38176712.890000001</v>
      </c>
      <c r="P43" s="79"/>
      <c r="Q43" s="128"/>
      <c r="R43" s="136"/>
    </row>
    <row r="44" spans="1:18" s="11" customFormat="1" ht="12.75">
      <c r="A44" s="145"/>
      <c r="B44" s="60" t="s">
        <v>107</v>
      </c>
      <c r="C44" s="176"/>
      <c r="D44" s="178"/>
      <c r="E44" s="178"/>
      <c r="F44" s="178"/>
      <c r="G44" s="153"/>
      <c r="H44" s="169"/>
      <c r="I44" s="169"/>
      <c r="J44" s="169"/>
      <c r="K44" s="169"/>
      <c r="L44" s="82"/>
      <c r="M44" s="82"/>
      <c r="N44" s="82"/>
      <c r="O44" s="110">
        <v>20153250.289999999</v>
      </c>
      <c r="P44" s="82"/>
      <c r="Q44" s="128"/>
      <c r="R44" s="136"/>
    </row>
    <row r="45" spans="1:18" s="11" customFormat="1" ht="25.5">
      <c r="A45" s="96">
        <v>22</v>
      </c>
      <c r="B45" s="34" t="s">
        <v>53</v>
      </c>
      <c r="C45" s="29" t="s">
        <v>40</v>
      </c>
      <c r="D45" s="71"/>
      <c r="E45" s="71">
        <f>G45</f>
        <v>706030000</v>
      </c>
      <c r="F45" s="71"/>
      <c r="G45" s="71">
        <v>706030000</v>
      </c>
      <c r="H45" s="78"/>
      <c r="I45" s="75"/>
      <c r="J45" s="75"/>
      <c r="K45" s="76"/>
      <c r="L45" s="76"/>
      <c r="M45" s="76"/>
      <c r="N45" s="76"/>
      <c r="O45" s="72">
        <v>601972320.37</v>
      </c>
      <c r="P45" s="76"/>
      <c r="Q45" s="128"/>
      <c r="R45" s="136"/>
    </row>
    <row r="46" spans="1:18" s="11" customFormat="1" ht="25.5">
      <c r="A46" s="96">
        <v>23</v>
      </c>
      <c r="B46" s="20" t="s">
        <v>106</v>
      </c>
      <c r="C46" s="92" t="s">
        <v>23</v>
      </c>
      <c r="D46" s="71">
        <f>F46+H46</f>
        <v>6946540.9100000001</v>
      </c>
      <c r="E46" s="71">
        <f>G46</f>
        <v>201975671.52000001</v>
      </c>
      <c r="F46" s="71">
        <v>6946540.9100000001</v>
      </c>
      <c r="G46" s="72">
        <f>ROUND(F46*G5,2)</f>
        <v>201975671.52000001</v>
      </c>
      <c r="H46" s="78"/>
      <c r="I46" s="75"/>
      <c r="J46" s="75"/>
      <c r="K46" s="76"/>
      <c r="L46" s="76"/>
      <c r="M46" s="76"/>
      <c r="N46" s="76"/>
      <c r="O46" s="72">
        <v>105184060.66</v>
      </c>
      <c r="P46" s="76"/>
      <c r="Q46" s="128"/>
      <c r="R46" s="136"/>
    </row>
    <row r="47" spans="1:18" s="11" customFormat="1" ht="12.75">
      <c r="A47" s="144">
        <v>24</v>
      </c>
      <c r="B47" s="170" t="s">
        <v>46</v>
      </c>
      <c r="C47" s="26" t="s">
        <v>30</v>
      </c>
      <c r="D47" s="71">
        <f>F47+H47+J47</f>
        <v>92418230.549999997</v>
      </c>
      <c r="E47" s="71">
        <f>G47+I47+K47</f>
        <v>2394730007.4000001</v>
      </c>
      <c r="F47" s="71">
        <v>89575728.209999993</v>
      </c>
      <c r="G47" s="72">
        <f>ROUND(F47*G4,2)</f>
        <v>2321075430.71</v>
      </c>
      <c r="H47" s="78"/>
      <c r="I47" s="75"/>
      <c r="J47" s="71">
        <v>2842502.34</v>
      </c>
      <c r="K47" s="72">
        <f>ROUND(J47*G4,2)</f>
        <v>73654576.689999998</v>
      </c>
      <c r="L47" s="76"/>
      <c r="M47" s="76"/>
      <c r="N47" s="76"/>
      <c r="O47" s="72">
        <f>90886115.89+6415859.85</f>
        <v>97301975.739999995</v>
      </c>
      <c r="P47" s="76"/>
      <c r="Q47" s="128"/>
      <c r="R47" s="136"/>
    </row>
    <row r="48" spans="1:18" s="11" customFormat="1" ht="12.75">
      <c r="A48" s="145"/>
      <c r="B48" s="171"/>
      <c r="C48" s="31" t="s">
        <v>23</v>
      </c>
      <c r="D48" s="71">
        <f>F48+H48</f>
        <v>229423071.59</v>
      </c>
      <c r="E48" s="71">
        <f>G48</f>
        <v>6670640761.6700001</v>
      </c>
      <c r="F48" s="71">
        <v>229423071.59</v>
      </c>
      <c r="G48" s="72">
        <f>ROUND(F48*G5,2)</f>
        <v>6670640761.6700001</v>
      </c>
      <c r="H48" s="78"/>
      <c r="I48" s="75"/>
      <c r="J48" s="75"/>
      <c r="K48" s="76"/>
      <c r="L48" s="76"/>
      <c r="M48" s="76"/>
      <c r="N48" s="76"/>
      <c r="O48" s="72">
        <v>102899937.59999999</v>
      </c>
      <c r="P48" s="76"/>
      <c r="Q48" s="128"/>
      <c r="R48" s="136"/>
    </row>
    <row r="49" spans="1:18" s="11" customFormat="1" ht="15.75" customHeight="1">
      <c r="A49" s="96">
        <v>25</v>
      </c>
      <c r="B49" s="22" t="s">
        <v>42</v>
      </c>
      <c r="C49" s="23" t="s">
        <v>30</v>
      </c>
      <c r="D49" s="71">
        <f>F49+H49</f>
        <v>152335221.21000001</v>
      </c>
      <c r="E49" s="71">
        <f>G49</f>
        <v>3947291819.4299998</v>
      </c>
      <c r="F49" s="71">
        <v>152335221.21000001</v>
      </c>
      <c r="G49" s="72">
        <f>ROUND(F49*G4,2)</f>
        <v>3947291819.4299998</v>
      </c>
      <c r="H49" s="78"/>
      <c r="I49" s="75"/>
      <c r="J49" s="75"/>
      <c r="K49" s="76"/>
      <c r="L49" s="76"/>
      <c r="M49" s="76"/>
      <c r="N49" s="76"/>
      <c r="O49" s="72">
        <v>1153205511.23</v>
      </c>
      <c r="P49" s="76"/>
      <c r="Q49" s="128"/>
      <c r="R49" s="136"/>
    </row>
    <row r="50" spans="1:18" s="11" customFormat="1" ht="25.5">
      <c r="A50" s="96">
        <v>26</v>
      </c>
      <c r="B50" s="34" t="s">
        <v>51</v>
      </c>
      <c r="C50" s="29" t="s">
        <v>40</v>
      </c>
      <c r="D50" s="71"/>
      <c r="E50" s="71">
        <f>G50</f>
        <v>292079.76</v>
      </c>
      <c r="F50" s="71"/>
      <c r="G50" s="71">
        <v>292079.76</v>
      </c>
      <c r="H50" s="78"/>
      <c r="I50" s="75"/>
      <c r="J50" s="75"/>
      <c r="K50" s="76"/>
      <c r="L50" s="76"/>
      <c r="M50" s="76"/>
      <c r="N50" s="76"/>
      <c r="O50" s="72">
        <v>356170.23</v>
      </c>
      <c r="P50" s="76"/>
      <c r="Q50" s="128"/>
      <c r="R50" s="136"/>
    </row>
    <row r="51" spans="1:18" s="11" customFormat="1" ht="81" customHeight="1">
      <c r="A51" s="144">
        <v>27</v>
      </c>
      <c r="B51" s="61" t="s">
        <v>117</v>
      </c>
      <c r="C51" s="175" t="s">
        <v>23</v>
      </c>
      <c r="D51" s="177">
        <f>F51+H51+J51</f>
        <v>1355947.47</v>
      </c>
      <c r="E51" s="177">
        <f>G51</f>
        <v>39425147.619999997</v>
      </c>
      <c r="F51" s="177">
        <v>1355947.47</v>
      </c>
      <c r="G51" s="177">
        <f>ROUND(F51*G5,2)</f>
        <v>39425147.619999997</v>
      </c>
      <c r="H51" s="168"/>
      <c r="I51" s="168"/>
      <c r="J51" s="168"/>
      <c r="K51" s="168"/>
      <c r="L51" s="79"/>
      <c r="M51" s="79"/>
      <c r="N51" s="79"/>
      <c r="O51" s="109">
        <v>22431935.780000001</v>
      </c>
      <c r="P51" s="79"/>
      <c r="Q51" s="128"/>
      <c r="R51" s="136"/>
    </row>
    <row r="52" spans="1:18" s="11" customFormat="1" ht="81.75" customHeight="1">
      <c r="A52" s="145"/>
      <c r="B52" s="27" t="s">
        <v>224</v>
      </c>
      <c r="C52" s="176"/>
      <c r="D52" s="178"/>
      <c r="E52" s="178"/>
      <c r="F52" s="178"/>
      <c r="G52" s="178"/>
      <c r="H52" s="169"/>
      <c r="I52" s="169"/>
      <c r="J52" s="169"/>
      <c r="K52" s="169"/>
      <c r="L52" s="82"/>
      <c r="M52" s="82"/>
      <c r="N52" s="82"/>
      <c r="O52" s="108">
        <v>17306991.629999999</v>
      </c>
      <c r="P52" s="82"/>
      <c r="Q52" s="128"/>
      <c r="R52" s="136"/>
    </row>
    <row r="53" spans="1:18" s="11" customFormat="1" ht="52.5" customHeight="1">
      <c r="A53" s="96">
        <v>28</v>
      </c>
      <c r="B53" s="20" t="s">
        <v>24</v>
      </c>
      <c r="C53" s="21" t="s">
        <v>23</v>
      </c>
      <c r="D53" s="71">
        <f>F53+H53</f>
        <v>2288720.9900000002</v>
      </c>
      <c r="E53" s="71">
        <f>G53</f>
        <v>66546208.369999997</v>
      </c>
      <c r="F53" s="72">
        <v>2288720.9900000002</v>
      </c>
      <c r="G53" s="72">
        <f>ROUND(F53*G5,2)</f>
        <v>66546208.369999997</v>
      </c>
      <c r="H53" s="78"/>
      <c r="I53" s="75"/>
      <c r="J53" s="75"/>
      <c r="K53" s="76"/>
      <c r="L53" s="76"/>
      <c r="M53" s="76"/>
      <c r="N53" s="76"/>
      <c r="O53" s="72">
        <v>7018311.3399999999</v>
      </c>
      <c r="P53" s="76"/>
      <c r="Q53" s="128"/>
      <c r="R53" s="136"/>
    </row>
    <row r="54" spans="1:18" s="11" customFormat="1" ht="18.75" customHeight="1">
      <c r="A54" s="96">
        <v>29</v>
      </c>
      <c r="B54" s="24" t="s">
        <v>37</v>
      </c>
      <c r="C54" s="21" t="s">
        <v>38</v>
      </c>
      <c r="D54" s="71">
        <f>F54+H54</f>
        <v>67535012</v>
      </c>
      <c r="E54" s="71">
        <f>G54</f>
        <v>17242964.98</v>
      </c>
      <c r="F54" s="72">
        <v>67535012</v>
      </c>
      <c r="G54" s="72">
        <f>ROUND(F54*G6,2)</f>
        <v>17242964.98</v>
      </c>
      <c r="H54" s="78"/>
      <c r="I54" s="75"/>
      <c r="J54" s="75"/>
      <c r="K54" s="76"/>
      <c r="L54" s="76"/>
      <c r="M54" s="76"/>
      <c r="N54" s="76"/>
      <c r="O54" s="72">
        <f>8412492.46+7781169.47+90812.47</f>
        <v>16284474.4</v>
      </c>
      <c r="P54" s="76"/>
      <c r="Q54" s="128"/>
      <c r="R54" s="136"/>
    </row>
    <row r="55" spans="1:18" s="11" customFormat="1" ht="14.25" customHeight="1">
      <c r="A55" s="96">
        <v>30</v>
      </c>
      <c r="B55" s="22" t="s">
        <v>49</v>
      </c>
      <c r="C55" s="21" t="s">
        <v>23</v>
      </c>
      <c r="D55" s="71">
        <f>F55+H55</f>
        <v>1041637.81</v>
      </c>
      <c r="E55" s="71">
        <f>G55+I55+K55</f>
        <v>30286368.260000002</v>
      </c>
      <c r="F55" s="72">
        <v>1041637.81</v>
      </c>
      <c r="G55" s="72">
        <f>ROUND(F55*G5,2)</f>
        <v>30286368.260000002</v>
      </c>
      <c r="H55" s="78"/>
      <c r="I55" s="75"/>
      <c r="J55" s="75"/>
      <c r="K55" s="76"/>
      <c r="L55" s="76"/>
      <c r="M55" s="76"/>
      <c r="N55" s="76"/>
      <c r="O55" s="72">
        <v>6145495.8899999997</v>
      </c>
      <c r="P55" s="76"/>
      <c r="Q55" s="128"/>
      <c r="R55" s="136"/>
    </row>
    <row r="56" spans="1:18" s="11" customFormat="1" ht="16.5" customHeight="1">
      <c r="A56" s="96">
        <v>31</v>
      </c>
      <c r="B56" s="34" t="s">
        <v>55</v>
      </c>
      <c r="C56" s="29" t="s">
        <v>30</v>
      </c>
      <c r="D56" s="71">
        <f>F56+H56+J56</f>
        <v>34071632.859999999</v>
      </c>
      <c r="E56" s="71">
        <f>G56+I56+K56</f>
        <v>882860028</v>
      </c>
      <c r="F56" s="71">
        <v>33982314.57</v>
      </c>
      <c r="G56" s="72">
        <f>ROUND(F56*G4,2)</f>
        <v>880545623.27999997</v>
      </c>
      <c r="H56" s="78"/>
      <c r="I56" s="75"/>
      <c r="J56" s="71">
        <v>89318.29</v>
      </c>
      <c r="K56" s="72">
        <f>ROUND(J56*G4,2)</f>
        <v>2314404.7200000002</v>
      </c>
      <c r="L56" s="71">
        <f>5000</f>
        <v>5000</v>
      </c>
      <c r="M56" s="76"/>
      <c r="N56" s="76"/>
      <c r="O56" s="72">
        <v>233979704.22999999</v>
      </c>
      <c r="P56" s="72">
        <v>4412.8500000000004</v>
      </c>
      <c r="Q56" s="62"/>
      <c r="R56" s="136"/>
    </row>
    <row r="57" spans="1:18" s="11" customFormat="1" ht="12.75">
      <c r="A57" s="144">
        <v>32</v>
      </c>
      <c r="B57" s="170" t="s">
        <v>50</v>
      </c>
      <c r="C57" s="33" t="s">
        <v>23</v>
      </c>
      <c r="D57" s="71">
        <f>F57+H57</f>
        <v>16033302.25</v>
      </c>
      <c r="E57" s="71">
        <f t="shared" ref="E57:E64" si="7">G57</f>
        <v>466179790.86000001</v>
      </c>
      <c r="F57" s="71">
        <v>16033302.25</v>
      </c>
      <c r="G57" s="72">
        <f>ROUND(F57*G5,2)</f>
        <v>466179790.86000001</v>
      </c>
      <c r="H57" s="78"/>
      <c r="I57" s="75"/>
      <c r="J57" s="75"/>
      <c r="K57" s="76"/>
      <c r="L57" s="76"/>
      <c r="M57" s="76"/>
      <c r="N57" s="76"/>
      <c r="O57" s="72">
        <v>9697340.8699999992</v>
      </c>
      <c r="P57" s="76"/>
      <c r="Q57" s="128"/>
      <c r="R57" s="136"/>
    </row>
    <row r="58" spans="1:18" s="11" customFormat="1" ht="12.75">
      <c r="A58" s="145"/>
      <c r="B58" s="171"/>
      <c r="C58" s="93" t="s">
        <v>40</v>
      </c>
      <c r="D58" s="71"/>
      <c r="E58" s="71">
        <f>G58</f>
        <v>6876139.2300000004</v>
      </c>
      <c r="F58" s="71"/>
      <c r="G58" s="71">
        <v>6876139.2300000004</v>
      </c>
      <c r="H58" s="78"/>
      <c r="I58" s="75"/>
      <c r="J58" s="75"/>
      <c r="K58" s="76"/>
      <c r="L58" s="76"/>
      <c r="M58" s="76"/>
      <c r="N58" s="76"/>
      <c r="O58" s="111"/>
      <c r="P58" s="76"/>
      <c r="Q58" s="128"/>
      <c r="R58" s="136"/>
    </row>
    <row r="59" spans="1:18" s="11" customFormat="1" ht="15" customHeight="1">
      <c r="A59" s="70">
        <v>33</v>
      </c>
      <c r="B59" s="22" t="s">
        <v>28</v>
      </c>
      <c r="C59" s="29" t="s">
        <v>23</v>
      </c>
      <c r="D59" s="71">
        <f>F59+H59</f>
        <v>96254091.5</v>
      </c>
      <c r="E59" s="71">
        <f t="shared" si="7"/>
        <v>2798656917.0500002</v>
      </c>
      <c r="F59" s="72">
        <v>96254091.5</v>
      </c>
      <c r="G59" s="72">
        <f>ROUND(F59*G5,2)</f>
        <v>2798656917.0500002</v>
      </c>
      <c r="H59" s="78"/>
      <c r="I59" s="75"/>
      <c r="J59" s="75"/>
      <c r="K59" s="76"/>
      <c r="L59" s="76"/>
      <c r="M59" s="76"/>
      <c r="N59" s="76"/>
      <c r="O59" s="72">
        <v>523288471.26999998</v>
      </c>
      <c r="P59" s="76"/>
      <c r="Q59" s="128"/>
      <c r="R59" s="136"/>
    </row>
    <row r="60" spans="1:18" s="11" customFormat="1" ht="15" customHeight="1">
      <c r="A60" s="144">
        <v>34</v>
      </c>
      <c r="B60" s="25" t="s">
        <v>44</v>
      </c>
      <c r="C60" s="26" t="s">
        <v>30</v>
      </c>
      <c r="D60" s="71">
        <f>F60+H60</f>
        <v>54440337.149999999</v>
      </c>
      <c r="E60" s="71">
        <f t="shared" si="7"/>
        <v>1410651428.95</v>
      </c>
      <c r="F60" s="71">
        <v>54440337.149999999</v>
      </c>
      <c r="G60" s="72">
        <f>ROUND(F60*G4,2)</f>
        <v>1410651428.95</v>
      </c>
      <c r="H60" s="78"/>
      <c r="I60" s="75"/>
      <c r="J60" s="75"/>
      <c r="K60" s="76"/>
      <c r="L60" s="73"/>
      <c r="M60" s="76"/>
      <c r="N60" s="76"/>
      <c r="O60" s="72">
        <v>510334581.41000003</v>
      </c>
      <c r="P60" s="73"/>
      <c r="Q60" s="62"/>
      <c r="R60" s="136"/>
    </row>
    <row r="61" spans="1:18" s="11" customFormat="1" ht="25.5">
      <c r="A61" s="145"/>
      <c r="B61" s="27" t="s">
        <v>45</v>
      </c>
      <c r="C61" s="31" t="s">
        <v>30</v>
      </c>
      <c r="D61" s="71">
        <f>F61+H61+J61</f>
        <v>5184198.6500000004</v>
      </c>
      <c r="E61" s="71">
        <f>G61+K61</f>
        <v>134332328.13999999</v>
      </c>
      <c r="F61" s="71">
        <v>5021723.1500000004</v>
      </c>
      <c r="G61" s="71">
        <f>ROUND(F61*G4,2)+0.01</f>
        <v>130122282.64</v>
      </c>
      <c r="H61" s="78"/>
      <c r="I61" s="75"/>
      <c r="J61" s="71">
        <v>162475.5</v>
      </c>
      <c r="K61" s="72">
        <f>ROUND(J61*G4,2)</f>
        <v>4210045.5</v>
      </c>
      <c r="L61" s="72">
        <v>47153.48</v>
      </c>
      <c r="M61" s="76"/>
      <c r="N61" s="76"/>
      <c r="O61" s="72">
        <v>71042767.079999998</v>
      </c>
      <c r="P61" s="76"/>
      <c r="Q61" s="128"/>
      <c r="R61" s="137"/>
    </row>
    <row r="62" spans="1:18" s="11" customFormat="1" ht="15.75" customHeight="1">
      <c r="A62" s="70">
        <v>35</v>
      </c>
      <c r="B62" s="22" t="s">
        <v>26</v>
      </c>
      <c r="C62" s="29" t="s">
        <v>23</v>
      </c>
      <c r="D62" s="71">
        <f>F62</f>
        <v>19405179.41</v>
      </c>
      <c r="E62" s="71">
        <f t="shared" si="7"/>
        <v>564219543.66999996</v>
      </c>
      <c r="F62" s="72">
        <v>19405179.41</v>
      </c>
      <c r="G62" s="72">
        <f>ROUND(F62*G5,2)</f>
        <v>564219543.66999996</v>
      </c>
      <c r="H62" s="78"/>
      <c r="I62" s="75"/>
      <c r="J62" s="75"/>
      <c r="K62" s="76"/>
      <c r="L62" s="76"/>
      <c r="M62" s="76"/>
      <c r="N62" s="76"/>
      <c r="O62" s="72">
        <v>209077934.62</v>
      </c>
      <c r="P62" s="76"/>
      <c r="Q62" s="128"/>
      <c r="R62" s="136"/>
    </row>
    <row r="63" spans="1:18" s="11" customFormat="1" ht="25.5">
      <c r="A63" s="70">
        <v>36</v>
      </c>
      <c r="B63" s="34" t="s">
        <v>54</v>
      </c>
      <c r="C63" s="29" t="s">
        <v>40</v>
      </c>
      <c r="D63" s="71"/>
      <c r="E63" s="71">
        <f t="shared" si="7"/>
        <v>2129053849.5999999</v>
      </c>
      <c r="F63" s="71"/>
      <c r="G63" s="71">
        <v>2129053849.5999999</v>
      </c>
      <c r="H63" s="78"/>
      <c r="I63" s="75"/>
      <c r="J63" s="75"/>
      <c r="K63" s="76"/>
      <c r="L63" s="76"/>
      <c r="M63" s="76"/>
      <c r="N63" s="76"/>
      <c r="O63" s="72">
        <v>9635453.2599999998</v>
      </c>
      <c r="P63" s="76"/>
      <c r="Q63" s="128"/>
      <c r="R63" s="136"/>
    </row>
    <row r="64" spans="1:18" s="11" customFormat="1" ht="15" customHeight="1">
      <c r="A64" s="70">
        <v>37</v>
      </c>
      <c r="B64" s="22" t="s">
        <v>25</v>
      </c>
      <c r="C64" s="29" t="s">
        <v>23</v>
      </c>
      <c r="D64" s="71">
        <f>F64</f>
        <v>37170181.600000001</v>
      </c>
      <c r="E64" s="71">
        <f t="shared" si="7"/>
        <v>1080749755.3800001</v>
      </c>
      <c r="F64" s="72">
        <v>37170181.600000001</v>
      </c>
      <c r="G64" s="72">
        <f>ROUND(F64*G5,2)</f>
        <v>1080749755.3800001</v>
      </c>
      <c r="H64" s="78"/>
      <c r="I64" s="75"/>
      <c r="J64" s="75"/>
      <c r="K64" s="76"/>
      <c r="L64" s="76"/>
      <c r="M64" s="76"/>
      <c r="N64" s="76"/>
      <c r="O64" s="72">
        <v>587849660.27999997</v>
      </c>
      <c r="P64" s="76"/>
      <c r="Q64" s="128"/>
      <c r="R64" s="136"/>
    </row>
    <row r="65" spans="1:18" s="11" customFormat="1" ht="25.5">
      <c r="A65" s="96">
        <v>38</v>
      </c>
      <c r="B65" s="34" t="s">
        <v>128</v>
      </c>
      <c r="C65" s="58" t="s">
        <v>40</v>
      </c>
      <c r="D65" s="71"/>
      <c r="E65" s="71"/>
      <c r="F65" s="72"/>
      <c r="G65" s="72"/>
      <c r="H65" s="78"/>
      <c r="I65" s="75"/>
      <c r="J65" s="75"/>
      <c r="K65" s="76"/>
      <c r="L65" s="72">
        <f>108322337.04+122175019.43</f>
        <v>230497356.47000003</v>
      </c>
      <c r="M65" s="72">
        <f>31597477.16+71414.62+35106071.09</f>
        <v>66774962.870000005</v>
      </c>
      <c r="N65" s="72">
        <f>8375979.63+8250894.56</f>
        <v>16626874.189999999</v>
      </c>
      <c r="O65" s="72"/>
      <c r="P65" s="72"/>
      <c r="Q65" s="128"/>
      <c r="R65" s="136"/>
    </row>
    <row r="66" spans="1:18" s="11" customFormat="1" ht="28.5" customHeight="1">
      <c r="A66" s="96">
        <v>39</v>
      </c>
      <c r="B66" s="34" t="s">
        <v>120</v>
      </c>
      <c r="C66" s="58" t="s">
        <v>40</v>
      </c>
      <c r="D66" s="71"/>
      <c r="E66" s="71"/>
      <c r="F66" s="72"/>
      <c r="G66" s="72"/>
      <c r="H66" s="78"/>
      <c r="I66" s="75"/>
      <c r="J66" s="75"/>
      <c r="K66" s="76"/>
      <c r="L66" s="72">
        <f>243680577.51+354804304.36</f>
        <v>598484881.87</v>
      </c>
      <c r="M66" s="72"/>
      <c r="N66" s="72"/>
      <c r="O66" s="72"/>
      <c r="P66" s="72"/>
      <c r="Q66" s="128"/>
      <c r="R66" s="136"/>
    </row>
    <row r="67" spans="1:18" s="11" customFormat="1" ht="16.5" customHeight="1">
      <c r="A67" s="96">
        <v>40</v>
      </c>
      <c r="B67" s="34" t="s">
        <v>109</v>
      </c>
      <c r="C67" s="58" t="s">
        <v>23</v>
      </c>
      <c r="D67" s="71"/>
      <c r="E67" s="71"/>
      <c r="F67" s="72"/>
      <c r="G67" s="72"/>
      <c r="H67" s="78"/>
      <c r="I67" s="75"/>
      <c r="J67" s="75"/>
      <c r="K67" s="76"/>
      <c r="L67" s="72"/>
      <c r="M67" s="72"/>
      <c r="N67" s="72"/>
      <c r="O67" s="72">
        <v>4753481.16</v>
      </c>
      <c r="P67" s="72"/>
      <c r="Q67" s="128"/>
      <c r="R67" s="136"/>
    </row>
    <row r="68" spans="1:18" s="11" customFormat="1" ht="16.5" customHeight="1">
      <c r="A68" s="96">
        <v>41</v>
      </c>
      <c r="B68" s="34" t="s">
        <v>110</v>
      </c>
      <c r="C68" s="58" t="s">
        <v>40</v>
      </c>
      <c r="D68" s="71"/>
      <c r="E68" s="71"/>
      <c r="F68" s="72"/>
      <c r="G68" s="72"/>
      <c r="H68" s="78"/>
      <c r="I68" s="75"/>
      <c r="J68" s="75"/>
      <c r="K68" s="76"/>
      <c r="L68" s="72"/>
      <c r="M68" s="72"/>
      <c r="N68" s="72"/>
      <c r="O68" s="72">
        <v>246169.46</v>
      </c>
      <c r="P68" s="72"/>
      <c r="Q68" s="62"/>
      <c r="R68" s="136"/>
    </row>
    <row r="69" spans="1:18" s="11" customFormat="1" ht="27" customHeight="1">
      <c r="A69" s="96">
        <v>42</v>
      </c>
      <c r="B69" s="34" t="s">
        <v>130</v>
      </c>
      <c r="C69" s="56" t="s">
        <v>30</v>
      </c>
      <c r="D69" s="71"/>
      <c r="E69" s="71"/>
      <c r="F69" s="72"/>
      <c r="G69" s="72"/>
      <c r="H69" s="78"/>
      <c r="I69" s="75"/>
      <c r="J69" s="75"/>
      <c r="K69" s="76"/>
      <c r="L69" s="76"/>
      <c r="M69" s="76"/>
      <c r="N69" s="72">
        <f>7026208.72+6442189.51</f>
        <v>13468398.23</v>
      </c>
      <c r="O69" s="111"/>
      <c r="P69" s="76"/>
      <c r="Q69" s="128"/>
      <c r="R69" s="136"/>
    </row>
    <row r="70" spans="1:18" s="11" customFormat="1" ht="25.5">
      <c r="A70" s="96">
        <v>43</v>
      </c>
      <c r="B70" s="34" t="s">
        <v>99</v>
      </c>
      <c r="C70" s="58" t="s">
        <v>30</v>
      </c>
      <c r="D70" s="71"/>
      <c r="E70" s="71"/>
      <c r="F70" s="72"/>
      <c r="G70" s="72"/>
      <c r="H70" s="78"/>
      <c r="I70" s="75"/>
      <c r="J70" s="75"/>
      <c r="K70" s="76"/>
      <c r="L70" s="76"/>
      <c r="M70" s="76"/>
      <c r="N70" s="72">
        <f>1890680+1891884.2</f>
        <v>3782564.2</v>
      </c>
      <c r="O70" s="111"/>
      <c r="P70" s="72">
        <v>1023.48</v>
      </c>
      <c r="Q70" s="128"/>
      <c r="R70" s="136"/>
    </row>
    <row r="71" spans="1:18" s="11" customFormat="1" ht="29.25" customHeight="1">
      <c r="A71" s="96">
        <v>44</v>
      </c>
      <c r="B71" s="34" t="s">
        <v>104</v>
      </c>
      <c r="C71" s="56" t="s">
        <v>40</v>
      </c>
      <c r="D71" s="71"/>
      <c r="E71" s="71"/>
      <c r="F71" s="72"/>
      <c r="G71" s="72"/>
      <c r="H71" s="78"/>
      <c r="I71" s="75"/>
      <c r="J71" s="75"/>
      <c r="K71" s="76"/>
      <c r="L71" s="76"/>
      <c r="M71" s="76"/>
      <c r="N71" s="72">
        <f>167464.25+167006.7+156232.07+167006.7+161619.39+167006.7+161619.39+167006.7+167006.7</f>
        <v>1481968.6</v>
      </c>
      <c r="O71" s="111"/>
      <c r="P71" s="76"/>
      <c r="Q71" s="128"/>
      <c r="R71" s="136"/>
    </row>
    <row r="72" spans="1:18" s="11" customFormat="1" ht="27.75" customHeight="1">
      <c r="A72" s="96">
        <v>45</v>
      </c>
      <c r="B72" s="34" t="s">
        <v>126</v>
      </c>
      <c r="C72" s="56" t="s">
        <v>40</v>
      </c>
      <c r="D72" s="71"/>
      <c r="E72" s="71"/>
      <c r="F72" s="72"/>
      <c r="G72" s="72"/>
      <c r="H72" s="78"/>
      <c r="I72" s="75"/>
      <c r="J72" s="75"/>
      <c r="K72" s="76"/>
      <c r="L72" s="76"/>
      <c r="M72" s="76"/>
      <c r="N72" s="72">
        <f>4739.75</f>
        <v>4739.75</v>
      </c>
      <c r="O72" s="111"/>
      <c r="P72" s="76"/>
      <c r="Q72" s="128"/>
      <c r="R72" s="136"/>
    </row>
    <row r="73" spans="1:18" s="11" customFormat="1" ht="29.25" customHeight="1">
      <c r="A73" s="96">
        <v>46</v>
      </c>
      <c r="B73" s="34" t="s">
        <v>127</v>
      </c>
      <c r="C73" s="56" t="s">
        <v>40</v>
      </c>
      <c r="D73" s="71"/>
      <c r="E73" s="71"/>
      <c r="F73" s="72"/>
      <c r="G73" s="72"/>
      <c r="H73" s="78"/>
      <c r="I73" s="75"/>
      <c r="J73" s="75"/>
      <c r="K73" s="76"/>
      <c r="L73" s="76"/>
      <c r="M73" s="76"/>
      <c r="N73" s="72">
        <f>49863.02+49863.02+49863.02</f>
        <v>149589.06</v>
      </c>
      <c r="O73" s="111"/>
      <c r="P73" s="76"/>
      <c r="Q73" s="128"/>
      <c r="R73" s="136"/>
    </row>
    <row r="74" spans="1:18" s="11" customFormat="1" ht="29.25" customHeight="1">
      <c r="A74" s="96">
        <v>47</v>
      </c>
      <c r="B74" s="34" t="s">
        <v>162</v>
      </c>
      <c r="C74" s="56" t="s">
        <v>40</v>
      </c>
      <c r="D74" s="71"/>
      <c r="E74" s="71"/>
      <c r="F74" s="72"/>
      <c r="G74" s="72"/>
      <c r="H74" s="78"/>
      <c r="I74" s="75"/>
      <c r="J74" s="75"/>
      <c r="K74" s="76"/>
      <c r="L74" s="76"/>
      <c r="M74" s="76"/>
      <c r="N74" s="72">
        <f>249315.07</f>
        <v>249315.07</v>
      </c>
      <c r="O74" s="111"/>
      <c r="P74" s="76"/>
      <c r="Q74" s="128"/>
      <c r="R74" s="136"/>
    </row>
    <row r="75" spans="1:18" s="11" customFormat="1" ht="40.5" customHeight="1">
      <c r="A75" s="96">
        <v>48</v>
      </c>
      <c r="B75" s="34" t="s">
        <v>100</v>
      </c>
      <c r="C75" s="56" t="s">
        <v>40</v>
      </c>
      <c r="D75" s="71"/>
      <c r="E75" s="71"/>
      <c r="F75" s="72"/>
      <c r="G75" s="72"/>
      <c r="H75" s="78"/>
      <c r="I75" s="75"/>
      <c r="J75" s="75"/>
      <c r="K75" s="76"/>
      <c r="L75" s="76"/>
      <c r="M75" s="76"/>
      <c r="N75" s="72">
        <f>2032.12+1842.14+1969.19+1901.57+1905.66+1844.19+1903.61+1842.14+1872.71</f>
        <v>17113.330000000002</v>
      </c>
      <c r="O75" s="111"/>
      <c r="P75" s="76"/>
      <c r="Q75" s="128"/>
      <c r="R75" s="136"/>
    </row>
    <row r="76" spans="1:18" s="11" customFormat="1" ht="40.5" customHeight="1">
      <c r="A76" s="96">
        <v>49</v>
      </c>
      <c r="B76" s="34" t="s">
        <v>96</v>
      </c>
      <c r="C76" s="56" t="s">
        <v>40</v>
      </c>
      <c r="D76" s="71"/>
      <c r="E76" s="71"/>
      <c r="F76" s="72"/>
      <c r="G76" s="72"/>
      <c r="H76" s="78"/>
      <c r="I76" s="75"/>
      <c r="J76" s="75"/>
      <c r="K76" s="76"/>
      <c r="L76" s="76"/>
      <c r="M76" s="76"/>
      <c r="N76" s="72">
        <f>394.07+391.02+356.15+380.72+366.85+368.43+356.55+366.45+356.15</f>
        <v>3336.39</v>
      </c>
      <c r="O76" s="111"/>
      <c r="P76" s="76"/>
      <c r="Q76" s="128"/>
      <c r="R76" s="136"/>
    </row>
    <row r="77" spans="1:18" s="11" customFormat="1" ht="39.75" customHeight="1">
      <c r="A77" s="96">
        <v>50</v>
      </c>
      <c r="B77" s="34" t="s">
        <v>97</v>
      </c>
      <c r="C77" s="56" t="s">
        <v>40</v>
      </c>
      <c r="D77" s="71"/>
      <c r="E77" s="71"/>
      <c r="F77" s="72"/>
      <c r="G77" s="72"/>
      <c r="H77" s="78"/>
      <c r="I77" s="75"/>
      <c r="J77" s="75"/>
      <c r="K77" s="76"/>
      <c r="L77" s="76"/>
      <c r="M77" s="76"/>
      <c r="N77" s="72">
        <f>231.95+230.05+209+223.42+215.19+215.51+208.56+214.23+207.6</f>
        <v>1955.5099999999998</v>
      </c>
      <c r="O77" s="111"/>
      <c r="P77" s="76"/>
      <c r="Q77" s="128"/>
      <c r="R77" s="136"/>
    </row>
    <row r="78" spans="1:18" s="11" customFormat="1" ht="39" customHeight="1">
      <c r="A78" s="96">
        <v>51</v>
      </c>
      <c r="B78" s="34" t="s">
        <v>98</v>
      </c>
      <c r="C78" s="57" t="s">
        <v>40</v>
      </c>
      <c r="D78" s="71"/>
      <c r="E78" s="71"/>
      <c r="F78" s="72"/>
      <c r="G78" s="72"/>
      <c r="H78" s="78"/>
      <c r="I78" s="75"/>
      <c r="J78" s="75"/>
      <c r="K78" s="76"/>
      <c r="L78" s="76"/>
      <c r="M78" s="76"/>
      <c r="N78" s="72">
        <f>121.1+117.1+91.69+98.01+88.24+75.25+72.83+69.01+52.49</f>
        <v>785.72</v>
      </c>
      <c r="O78" s="111"/>
      <c r="P78" s="76"/>
      <c r="Q78" s="128"/>
      <c r="R78" s="136"/>
    </row>
    <row r="79" spans="1:18" s="11" customFormat="1" ht="25.5" customHeight="1">
      <c r="A79" s="96">
        <v>52</v>
      </c>
      <c r="B79" s="34" t="s">
        <v>150</v>
      </c>
      <c r="C79" s="57" t="s">
        <v>40</v>
      </c>
      <c r="D79" s="71"/>
      <c r="E79" s="71"/>
      <c r="F79" s="72"/>
      <c r="G79" s="72"/>
      <c r="H79" s="78"/>
      <c r="I79" s="75"/>
      <c r="J79" s="75"/>
      <c r="K79" s="76"/>
      <c r="L79" s="76"/>
      <c r="M79" s="76"/>
      <c r="N79" s="72">
        <f>207254.07</f>
        <v>207254.07</v>
      </c>
      <c r="O79" s="111"/>
      <c r="P79" s="76"/>
      <c r="Q79" s="128"/>
      <c r="R79" s="136"/>
    </row>
    <row r="80" spans="1:18" s="11" customFormat="1" ht="25.5" customHeight="1">
      <c r="A80" s="96">
        <v>53</v>
      </c>
      <c r="B80" s="34" t="s">
        <v>163</v>
      </c>
      <c r="C80" s="29" t="s">
        <v>23</v>
      </c>
      <c r="D80" s="71"/>
      <c r="E80" s="71"/>
      <c r="F80" s="72"/>
      <c r="G80" s="72"/>
      <c r="H80" s="78"/>
      <c r="I80" s="75"/>
      <c r="J80" s="75"/>
      <c r="K80" s="76"/>
      <c r="L80" s="76"/>
      <c r="M80" s="76"/>
      <c r="N80" s="72">
        <f>4319.36</f>
        <v>4319.3599999999997</v>
      </c>
      <c r="O80" s="111"/>
      <c r="P80" s="76"/>
      <c r="Q80" s="128"/>
      <c r="R80" s="136"/>
    </row>
    <row r="81" spans="1:18" s="11" customFormat="1" ht="25.5" customHeight="1">
      <c r="A81" s="96">
        <v>54</v>
      </c>
      <c r="B81" s="34" t="s">
        <v>164</v>
      </c>
      <c r="C81" s="29" t="s">
        <v>23</v>
      </c>
      <c r="D81" s="71"/>
      <c r="E81" s="71"/>
      <c r="F81" s="72"/>
      <c r="G81" s="72"/>
      <c r="H81" s="78"/>
      <c r="I81" s="75"/>
      <c r="J81" s="75"/>
      <c r="K81" s="76"/>
      <c r="L81" s="72">
        <f>732041.91</f>
        <v>732041.91</v>
      </c>
      <c r="M81" s="76"/>
      <c r="N81" s="72">
        <f>244013.98</f>
        <v>244013.98</v>
      </c>
      <c r="O81" s="111"/>
      <c r="P81" s="76"/>
      <c r="Q81" s="128"/>
      <c r="R81" s="136"/>
    </row>
    <row r="82" spans="1:18" s="11" customFormat="1" ht="15.75" customHeight="1">
      <c r="A82" s="96">
        <v>55</v>
      </c>
      <c r="B82" s="22" t="s">
        <v>57</v>
      </c>
      <c r="C82" s="29" t="s">
        <v>30</v>
      </c>
      <c r="D82" s="71">
        <f t="shared" ref="D82:E85" si="8">F82+H82+J82</f>
        <v>9978036.5999999996</v>
      </c>
      <c r="E82" s="71">
        <f t="shared" si="8"/>
        <v>258549677.04000002</v>
      </c>
      <c r="F82" s="71">
        <v>4271712.54</v>
      </c>
      <c r="G82" s="72">
        <f>ROUND(F82*G4,2)</f>
        <v>110688098.45999999</v>
      </c>
      <c r="H82" s="71">
        <v>3252306.05</v>
      </c>
      <c r="I82" s="72">
        <f>ROUND(H82*G4,2)</f>
        <v>84273360.840000004</v>
      </c>
      <c r="J82" s="71">
        <v>2454018.0099999998</v>
      </c>
      <c r="K82" s="72">
        <f>ROUND(J82*G4,2)</f>
        <v>63588217.740000002</v>
      </c>
      <c r="L82" s="76"/>
      <c r="M82" s="76"/>
      <c r="N82" s="76"/>
      <c r="O82" s="72">
        <v>11547055</v>
      </c>
      <c r="P82" s="76"/>
      <c r="Q82" s="128"/>
      <c r="R82" s="136"/>
    </row>
    <row r="83" spans="1:18" s="11" customFormat="1" ht="38.25">
      <c r="A83" s="96">
        <v>56</v>
      </c>
      <c r="B83" s="24" t="s">
        <v>58</v>
      </c>
      <c r="C83" s="29" t="s">
        <v>30</v>
      </c>
      <c r="D83" s="71">
        <f t="shared" si="8"/>
        <v>0.3</v>
      </c>
      <c r="E83" s="71">
        <f t="shared" si="8"/>
        <v>7.7799999999999994</v>
      </c>
      <c r="F83" s="71">
        <v>0</v>
      </c>
      <c r="G83" s="72">
        <f>ROUND(F83*G4,2)</f>
        <v>0</v>
      </c>
      <c r="H83" s="71">
        <v>0</v>
      </c>
      <c r="I83" s="72">
        <f>ROUND(H83*G4,2)</f>
        <v>0</v>
      </c>
      <c r="J83" s="71">
        <v>0.3</v>
      </c>
      <c r="K83" s="72">
        <f>ROUND(J83*G4,2)+0.01</f>
        <v>7.7799999999999994</v>
      </c>
      <c r="L83" s="72">
        <f>34628642.78+22732466.09</f>
        <v>57361108.870000005</v>
      </c>
      <c r="M83" s="72">
        <f>5746990.52+2078726.59</f>
        <v>7825717.1099999994</v>
      </c>
      <c r="N83" s="72">
        <f>975262.08+469790.75</f>
        <v>1445052.83</v>
      </c>
      <c r="O83" s="72">
        <v>18095177</v>
      </c>
      <c r="P83" s="76"/>
      <c r="Q83" s="128"/>
      <c r="R83" s="136"/>
    </row>
    <row r="84" spans="1:18" s="11" customFormat="1" ht="38.25">
      <c r="A84" s="96">
        <v>57</v>
      </c>
      <c r="B84" s="35" t="s">
        <v>118</v>
      </c>
      <c r="C84" s="29" t="s">
        <v>30</v>
      </c>
      <c r="D84" s="71">
        <f>F84+H84+J84</f>
        <v>116195.41</v>
      </c>
      <c r="E84" s="71">
        <f>G84+I84+K84</f>
        <v>3010841.41</v>
      </c>
      <c r="F84" s="71">
        <v>82736.39</v>
      </c>
      <c r="G84" s="72">
        <f>ROUND(F84*G4,2)</f>
        <v>2143855.33</v>
      </c>
      <c r="H84" s="71">
        <v>18482.11</v>
      </c>
      <c r="I84" s="72">
        <f>ROUND(H84*G4,2)</f>
        <v>478906.2</v>
      </c>
      <c r="J84" s="71">
        <v>14976.91</v>
      </c>
      <c r="K84" s="72">
        <f>ROUND(J84*G4,2)</f>
        <v>388079.88</v>
      </c>
      <c r="L84" s="76"/>
      <c r="M84" s="76"/>
      <c r="N84" s="76"/>
      <c r="O84" s="152">
        <v>1113895.94</v>
      </c>
      <c r="P84" s="76"/>
      <c r="Q84" s="128"/>
      <c r="R84" s="136"/>
    </row>
    <row r="85" spans="1:18" s="11" customFormat="1" ht="39" customHeight="1">
      <c r="A85" s="96">
        <v>58</v>
      </c>
      <c r="B85" s="35" t="s">
        <v>119</v>
      </c>
      <c r="C85" s="29" t="s">
        <v>30</v>
      </c>
      <c r="D85" s="71">
        <f t="shared" si="8"/>
        <v>10667.46</v>
      </c>
      <c r="E85" s="71">
        <f t="shared" si="8"/>
        <v>276413.93</v>
      </c>
      <c r="F85" s="71">
        <v>10667.46</v>
      </c>
      <c r="G85" s="72">
        <f>ROUND(F85*G4,2)</f>
        <v>276413.93</v>
      </c>
      <c r="H85" s="71"/>
      <c r="I85" s="72"/>
      <c r="J85" s="71"/>
      <c r="K85" s="72"/>
      <c r="L85" s="71"/>
      <c r="M85" s="71"/>
      <c r="N85" s="71">
        <v>6500</v>
      </c>
      <c r="O85" s="153"/>
      <c r="P85" s="76"/>
      <c r="Q85" s="128"/>
      <c r="R85" s="136"/>
    </row>
    <row r="86" spans="1:18" s="11" customFormat="1" ht="24.75">
      <c r="A86" s="96">
        <v>59</v>
      </c>
      <c r="B86" s="35" t="s">
        <v>203</v>
      </c>
      <c r="C86" s="29" t="s">
        <v>30</v>
      </c>
      <c r="D86" s="71">
        <f t="shared" ref="D86" si="9">F86+H86+J88</f>
        <v>985220.27</v>
      </c>
      <c r="E86" s="71">
        <f t="shared" ref="E86:E133" si="10">G86+I86+K86</f>
        <v>25528908.420000002</v>
      </c>
      <c r="F86" s="71">
        <v>488848.38</v>
      </c>
      <c r="G86" s="72">
        <f>ROUND(F86*G4,2)</f>
        <v>12666980.07</v>
      </c>
      <c r="H86" s="71">
        <v>496371.89</v>
      </c>
      <c r="I86" s="72">
        <f>ROUND(H86*G4,2)</f>
        <v>12861928.35</v>
      </c>
      <c r="J86" s="71"/>
      <c r="K86" s="72"/>
      <c r="L86" s="76"/>
      <c r="M86" s="76"/>
      <c r="N86" s="76"/>
      <c r="O86" s="72">
        <v>11777285.6</v>
      </c>
      <c r="P86" s="76"/>
      <c r="Q86" s="128"/>
      <c r="R86" s="62">
        <v>454512.99</v>
      </c>
    </row>
    <row r="87" spans="1:18" s="11" customFormat="1" ht="24.75">
      <c r="A87" s="96">
        <v>60</v>
      </c>
      <c r="B87" s="35" t="s">
        <v>204</v>
      </c>
      <c r="C87" s="29" t="s">
        <v>30</v>
      </c>
      <c r="D87" s="71">
        <f>F87+H87</f>
        <v>1479499.47</v>
      </c>
      <c r="E87" s="71">
        <f t="shared" si="10"/>
        <v>38336611.25</v>
      </c>
      <c r="F87" s="71">
        <v>1413293.66</v>
      </c>
      <c r="G87" s="72">
        <f>ROUND(F87*G4,2)</f>
        <v>36621094.310000002</v>
      </c>
      <c r="H87" s="71">
        <v>66205.81</v>
      </c>
      <c r="I87" s="72">
        <f>ROUND(H87*G4,2)</f>
        <v>1715516.94</v>
      </c>
      <c r="J87" s="71"/>
      <c r="K87" s="72"/>
      <c r="L87" s="76"/>
      <c r="M87" s="76"/>
      <c r="N87" s="76"/>
      <c r="O87" s="72">
        <v>13867250.18</v>
      </c>
      <c r="P87" s="76"/>
      <c r="Q87" s="128"/>
      <c r="R87" s="138">
        <v>535169.61</v>
      </c>
    </row>
    <row r="88" spans="1:18" s="11" customFormat="1" ht="27" customHeight="1">
      <c r="A88" s="70">
        <v>61</v>
      </c>
      <c r="B88" s="24" t="s">
        <v>60</v>
      </c>
      <c r="C88" s="29" t="s">
        <v>30</v>
      </c>
      <c r="D88" s="71">
        <f>F88+H88</f>
        <v>1261327.99</v>
      </c>
      <c r="E88" s="71">
        <f t="shared" si="10"/>
        <v>32683378.260000002</v>
      </c>
      <c r="F88" s="71">
        <v>1097285.3400000001</v>
      </c>
      <c r="G88" s="72">
        <f>ROUND(F88*G4,2)</f>
        <v>28432724.960000001</v>
      </c>
      <c r="H88" s="71">
        <v>164042.65</v>
      </c>
      <c r="I88" s="72">
        <f>ROUND(H88*G4,2)</f>
        <v>4250653.3</v>
      </c>
      <c r="J88" s="75"/>
      <c r="K88" s="76"/>
      <c r="L88" s="76"/>
      <c r="M88" s="76"/>
      <c r="N88" s="76"/>
      <c r="O88" s="72">
        <v>186232.56</v>
      </c>
      <c r="P88" s="76"/>
      <c r="Q88" s="128"/>
      <c r="R88" s="138">
        <v>7187.15</v>
      </c>
    </row>
    <row r="89" spans="1:18" s="11" customFormat="1" ht="26.25" customHeight="1">
      <c r="A89" s="97">
        <v>62</v>
      </c>
      <c r="B89" s="24" t="s">
        <v>230</v>
      </c>
      <c r="C89" s="29" t="s">
        <v>30</v>
      </c>
      <c r="D89" s="71">
        <f>F89+H89</f>
        <v>17340.28</v>
      </c>
      <c r="E89" s="71">
        <f t="shared" si="10"/>
        <v>449319.24</v>
      </c>
      <c r="F89" s="71"/>
      <c r="G89" s="72"/>
      <c r="H89" s="71">
        <v>17340.28</v>
      </c>
      <c r="I89" s="72">
        <f>ROUND(H89*G4,2)</f>
        <v>449319.24</v>
      </c>
      <c r="J89" s="75"/>
      <c r="K89" s="76"/>
      <c r="L89" s="76"/>
      <c r="M89" s="76"/>
      <c r="N89" s="76"/>
      <c r="O89" s="72">
        <v>196962.15</v>
      </c>
      <c r="P89" s="76"/>
      <c r="Q89" s="128"/>
      <c r="R89" s="62">
        <v>7601.23</v>
      </c>
    </row>
    <row r="90" spans="1:18" s="11" customFormat="1" ht="26.25" customHeight="1">
      <c r="A90" s="97">
        <v>63</v>
      </c>
      <c r="B90" s="24" t="s">
        <v>223</v>
      </c>
      <c r="C90" s="29" t="s">
        <v>30</v>
      </c>
      <c r="D90" s="71"/>
      <c r="E90" s="71"/>
      <c r="F90" s="71"/>
      <c r="G90" s="72"/>
      <c r="H90" s="71"/>
      <c r="I90" s="72"/>
      <c r="J90" s="75"/>
      <c r="K90" s="76"/>
      <c r="L90" s="76"/>
      <c r="M90" s="76"/>
      <c r="N90" s="71">
        <f>769098.6</f>
        <v>769098.6</v>
      </c>
      <c r="O90" s="72"/>
      <c r="P90" s="76"/>
      <c r="Q90" s="128"/>
      <c r="R90" s="62"/>
    </row>
    <row r="91" spans="1:18" s="11" customFormat="1" ht="26.25" customHeight="1">
      <c r="A91" s="97">
        <v>64</v>
      </c>
      <c r="B91" s="24" t="s">
        <v>140</v>
      </c>
      <c r="C91" s="29" t="s">
        <v>30</v>
      </c>
      <c r="D91" s="71">
        <f>F91+H91+J91</f>
        <v>1120.3999999999999</v>
      </c>
      <c r="E91" s="71">
        <f t="shared" si="10"/>
        <v>29031.67</v>
      </c>
      <c r="F91" s="71"/>
      <c r="G91" s="72"/>
      <c r="H91" s="71">
        <v>1110.3</v>
      </c>
      <c r="I91" s="72">
        <f>ROUND(H91*G4,2)</f>
        <v>28769.96</v>
      </c>
      <c r="J91" s="71">
        <v>10.1</v>
      </c>
      <c r="K91" s="72">
        <f>ROUND(J91*G4,2)</f>
        <v>261.70999999999998</v>
      </c>
      <c r="L91" s="76"/>
      <c r="M91" s="76"/>
      <c r="N91" s="76"/>
      <c r="O91" s="72"/>
      <c r="P91" s="76"/>
      <c r="Q91" s="128"/>
      <c r="R91" s="62"/>
    </row>
    <row r="92" spans="1:18" s="11" customFormat="1" ht="27" customHeight="1">
      <c r="A92" s="97">
        <v>65</v>
      </c>
      <c r="B92" s="24" t="s">
        <v>231</v>
      </c>
      <c r="C92" s="29" t="s">
        <v>30</v>
      </c>
      <c r="D92" s="71">
        <f t="shared" ref="D92:D93" si="11">F92+H92+J92</f>
        <v>42.5</v>
      </c>
      <c r="E92" s="71">
        <f t="shared" si="10"/>
        <v>1101.25</v>
      </c>
      <c r="F92" s="71"/>
      <c r="G92" s="72"/>
      <c r="H92" s="71">
        <v>41.94</v>
      </c>
      <c r="I92" s="72">
        <f>ROUND(H92*G4,2)</f>
        <v>1086.74</v>
      </c>
      <c r="J92" s="71">
        <v>0.56000000000000005</v>
      </c>
      <c r="K92" s="72">
        <f>ROUND(J92*G4,2)</f>
        <v>14.51</v>
      </c>
      <c r="L92" s="76"/>
      <c r="M92" s="76"/>
      <c r="N92" s="76"/>
      <c r="O92" s="72"/>
      <c r="P92" s="76"/>
      <c r="Q92" s="128"/>
      <c r="R92" s="62"/>
    </row>
    <row r="93" spans="1:18" s="11" customFormat="1" ht="27" customHeight="1">
      <c r="A93" s="97">
        <v>66</v>
      </c>
      <c r="B93" s="67" t="s">
        <v>165</v>
      </c>
      <c r="C93" s="29" t="s">
        <v>30</v>
      </c>
      <c r="D93" s="71">
        <f t="shared" si="11"/>
        <v>0.01</v>
      </c>
      <c r="E93" s="71">
        <f>G93+I93+K93</f>
        <v>0.26</v>
      </c>
      <c r="F93" s="71"/>
      <c r="G93" s="72"/>
      <c r="H93" s="71">
        <v>0.01</v>
      </c>
      <c r="I93" s="72">
        <f>ROUND(H93*G4,2)</f>
        <v>0.26</v>
      </c>
      <c r="J93" s="71"/>
      <c r="K93" s="72"/>
      <c r="L93" s="76"/>
      <c r="M93" s="71">
        <f>20007.85</f>
        <v>20007.849999999999</v>
      </c>
      <c r="N93" s="71">
        <f>182.01</f>
        <v>182.01</v>
      </c>
      <c r="O93" s="72"/>
      <c r="P93" s="76"/>
      <c r="Q93" s="128"/>
      <c r="R93" s="62"/>
    </row>
    <row r="94" spans="1:18" s="11" customFormat="1" ht="27" customHeight="1">
      <c r="A94" s="97">
        <v>67</v>
      </c>
      <c r="B94" s="67" t="s">
        <v>166</v>
      </c>
      <c r="C94" s="29" t="s">
        <v>30</v>
      </c>
      <c r="D94" s="71"/>
      <c r="E94" s="71"/>
      <c r="F94" s="71"/>
      <c r="G94" s="72"/>
      <c r="H94" s="71"/>
      <c r="I94" s="72"/>
      <c r="J94" s="71"/>
      <c r="K94" s="72"/>
      <c r="L94" s="76"/>
      <c r="M94" s="71">
        <f>2859.73</f>
        <v>2859.73</v>
      </c>
      <c r="N94" s="71">
        <f>38.25</f>
        <v>38.25</v>
      </c>
      <c r="O94" s="72"/>
      <c r="P94" s="76"/>
      <c r="Q94" s="128"/>
      <c r="R94" s="62"/>
    </row>
    <row r="95" spans="1:18" s="11" customFormat="1" ht="27" customHeight="1">
      <c r="A95" s="97">
        <v>68</v>
      </c>
      <c r="B95" s="67" t="s">
        <v>167</v>
      </c>
      <c r="C95" s="29" t="s">
        <v>30</v>
      </c>
      <c r="D95" s="71"/>
      <c r="E95" s="71"/>
      <c r="F95" s="71"/>
      <c r="G95" s="72"/>
      <c r="H95" s="71"/>
      <c r="I95" s="72"/>
      <c r="J95" s="71"/>
      <c r="K95" s="72"/>
      <c r="L95" s="76"/>
      <c r="M95" s="71">
        <f>21313.69</f>
        <v>21313.69</v>
      </c>
      <c r="N95" s="71">
        <f>188.03</f>
        <v>188.03</v>
      </c>
      <c r="O95" s="72"/>
      <c r="P95" s="76"/>
      <c r="Q95" s="128"/>
      <c r="R95" s="62"/>
    </row>
    <row r="96" spans="1:18" s="11" customFormat="1" ht="27" customHeight="1">
      <c r="A96" s="97">
        <v>69</v>
      </c>
      <c r="B96" s="66" t="s">
        <v>168</v>
      </c>
      <c r="C96" s="29" t="s">
        <v>30</v>
      </c>
      <c r="D96" s="71"/>
      <c r="E96" s="71"/>
      <c r="F96" s="71"/>
      <c r="G96" s="72"/>
      <c r="H96" s="71"/>
      <c r="I96" s="72"/>
      <c r="J96" s="71"/>
      <c r="K96" s="72"/>
      <c r="L96" s="76"/>
      <c r="M96" s="71">
        <f>2221.81</f>
        <v>2221.81</v>
      </c>
      <c r="N96" s="71">
        <f>32.11</f>
        <v>32.11</v>
      </c>
      <c r="O96" s="72"/>
      <c r="P96" s="76"/>
      <c r="Q96" s="128"/>
      <c r="R96" s="62"/>
    </row>
    <row r="97" spans="1:18" s="11" customFormat="1" ht="27" customHeight="1">
      <c r="A97" s="97">
        <v>70</v>
      </c>
      <c r="B97" s="67" t="s">
        <v>171</v>
      </c>
      <c r="C97" s="29" t="s">
        <v>30</v>
      </c>
      <c r="D97" s="71"/>
      <c r="E97" s="71"/>
      <c r="F97" s="71"/>
      <c r="G97" s="72"/>
      <c r="H97" s="71"/>
      <c r="I97" s="72"/>
      <c r="J97" s="71"/>
      <c r="K97" s="72"/>
      <c r="L97" s="76"/>
      <c r="M97" s="71">
        <f>12130.09</f>
        <v>12130.09</v>
      </c>
      <c r="N97" s="71">
        <f>110.51</f>
        <v>110.51</v>
      </c>
      <c r="O97" s="72"/>
      <c r="P97" s="76"/>
      <c r="Q97" s="128"/>
      <c r="R97" s="62"/>
    </row>
    <row r="98" spans="1:18" s="11" customFormat="1" ht="27" customHeight="1">
      <c r="A98" s="97">
        <v>71</v>
      </c>
      <c r="B98" s="66" t="s">
        <v>172</v>
      </c>
      <c r="C98" s="29" t="s">
        <v>30</v>
      </c>
      <c r="D98" s="71"/>
      <c r="E98" s="71"/>
      <c r="F98" s="71"/>
      <c r="G98" s="72"/>
      <c r="H98" s="71"/>
      <c r="I98" s="72"/>
      <c r="J98" s="71"/>
      <c r="K98" s="72"/>
      <c r="L98" s="76"/>
      <c r="M98" s="71">
        <f>2374.21</f>
        <v>2374.21</v>
      </c>
      <c r="N98" s="71">
        <f>31.75</f>
        <v>31.75</v>
      </c>
      <c r="O98" s="72"/>
      <c r="P98" s="76"/>
      <c r="Q98" s="128"/>
      <c r="R98" s="62"/>
    </row>
    <row r="99" spans="1:18" s="11" customFormat="1" ht="27" customHeight="1">
      <c r="A99" s="97">
        <v>72</v>
      </c>
      <c r="B99" s="67" t="s">
        <v>173</v>
      </c>
      <c r="C99" s="29" t="s">
        <v>30</v>
      </c>
      <c r="D99" s="71"/>
      <c r="E99" s="71"/>
      <c r="F99" s="71"/>
      <c r="G99" s="72"/>
      <c r="H99" s="71"/>
      <c r="I99" s="72"/>
      <c r="J99" s="71"/>
      <c r="K99" s="72"/>
      <c r="L99" s="76"/>
      <c r="M99" s="71">
        <f>227742.13</f>
        <v>227742.13</v>
      </c>
      <c r="N99" s="71">
        <f>2070.57</f>
        <v>2070.5700000000002</v>
      </c>
      <c r="O99" s="72"/>
      <c r="P99" s="76"/>
      <c r="Q99" s="128"/>
      <c r="R99" s="62"/>
    </row>
    <row r="100" spans="1:18" s="11" customFormat="1" ht="27" customHeight="1">
      <c r="A100" s="97">
        <v>73</v>
      </c>
      <c r="B100" s="67" t="s">
        <v>174</v>
      </c>
      <c r="C100" s="29" t="s">
        <v>30</v>
      </c>
      <c r="D100" s="71"/>
      <c r="E100" s="71"/>
      <c r="F100" s="71"/>
      <c r="G100" s="72"/>
      <c r="H100" s="71"/>
      <c r="I100" s="72"/>
      <c r="J100" s="71"/>
      <c r="K100" s="72"/>
      <c r="L100" s="76"/>
      <c r="M100" s="71">
        <f>2717.58</f>
        <v>2717.58</v>
      </c>
      <c r="N100" s="71">
        <f>36.19</f>
        <v>36.19</v>
      </c>
      <c r="O100" s="72"/>
      <c r="P100" s="76"/>
      <c r="Q100" s="128"/>
      <c r="R100" s="62"/>
    </row>
    <row r="101" spans="1:18" s="11" customFormat="1" ht="27" customHeight="1">
      <c r="A101" s="97">
        <v>74</v>
      </c>
      <c r="B101" s="67" t="s">
        <v>175</v>
      </c>
      <c r="C101" s="29" t="s">
        <v>30</v>
      </c>
      <c r="D101" s="71"/>
      <c r="E101" s="71"/>
      <c r="F101" s="71"/>
      <c r="G101" s="72"/>
      <c r="H101" s="71"/>
      <c r="I101" s="72"/>
      <c r="J101" s="71"/>
      <c r="K101" s="72"/>
      <c r="L101" s="76"/>
      <c r="M101" s="71">
        <f>80327.78</f>
        <v>80327.78</v>
      </c>
      <c r="N101" s="71">
        <f>730.26</f>
        <v>730.26</v>
      </c>
      <c r="O101" s="72"/>
      <c r="P101" s="76"/>
      <c r="Q101" s="128"/>
      <c r="R101" s="62"/>
    </row>
    <row r="102" spans="1:18" s="11" customFormat="1" ht="27" customHeight="1">
      <c r="A102" s="97">
        <v>75</v>
      </c>
      <c r="B102" s="67" t="s">
        <v>176</v>
      </c>
      <c r="C102" s="29" t="s">
        <v>30</v>
      </c>
      <c r="D102" s="71"/>
      <c r="E102" s="71"/>
      <c r="F102" s="71"/>
      <c r="G102" s="72"/>
      <c r="H102" s="71"/>
      <c r="I102" s="72"/>
      <c r="J102" s="71"/>
      <c r="K102" s="72"/>
      <c r="L102" s="76"/>
      <c r="M102" s="71">
        <f>2893.37</f>
        <v>2893.37</v>
      </c>
      <c r="N102" s="71">
        <f>38.62</f>
        <v>38.619999999999997</v>
      </c>
      <c r="O102" s="72"/>
      <c r="P102" s="76"/>
      <c r="Q102" s="128"/>
      <c r="R102" s="62"/>
    </row>
    <row r="103" spans="1:18" s="11" customFormat="1" ht="27" customHeight="1">
      <c r="A103" s="97">
        <v>76</v>
      </c>
      <c r="B103" s="67" t="s">
        <v>177</v>
      </c>
      <c r="C103" s="29" t="s">
        <v>30</v>
      </c>
      <c r="D103" s="71"/>
      <c r="E103" s="71"/>
      <c r="F103" s="71"/>
      <c r="G103" s="72"/>
      <c r="H103" s="71"/>
      <c r="I103" s="72"/>
      <c r="J103" s="71"/>
      <c r="K103" s="72"/>
      <c r="L103" s="76"/>
      <c r="M103" s="71">
        <f>105877.69</f>
        <v>105877.69</v>
      </c>
      <c r="N103" s="71">
        <f>962.59</f>
        <v>962.59</v>
      </c>
      <c r="O103" s="72"/>
      <c r="P103" s="76"/>
      <c r="Q103" s="128"/>
      <c r="R103" s="62"/>
    </row>
    <row r="104" spans="1:18" s="11" customFormat="1" ht="27" customHeight="1">
      <c r="A104" s="97">
        <v>77</v>
      </c>
      <c r="B104" s="66" t="s">
        <v>178</v>
      </c>
      <c r="C104" s="29" t="s">
        <v>30</v>
      </c>
      <c r="D104" s="71"/>
      <c r="E104" s="71"/>
      <c r="F104" s="71"/>
      <c r="G104" s="72"/>
      <c r="H104" s="71"/>
      <c r="I104" s="72"/>
      <c r="J104" s="71"/>
      <c r="K104" s="72"/>
      <c r="L104" s="76"/>
      <c r="M104" s="71">
        <f>6001.93</f>
        <v>6001.93</v>
      </c>
      <c r="N104" s="71">
        <f>80.05</f>
        <v>80.05</v>
      </c>
      <c r="O104" s="72"/>
      <c r="P104" s="76"/>
      <c r="Q104" s="128"/>
      <c r="R104" s="62"/>
    </row>
    <row r="105" spans="1:18" s="11" customFormat="1" ht="27" customHeight="1">
      <c r="A105" s="97">
        <v>78</v>
      </c>
      <c r="B105" s="67" t="s">
        <v>179</v>
      </c>
      <c r="C105" s="29" t="s">
        <v>30</v>
      </c>
      <c r="D105" s="71"/>
      <c r="E105" s="71"/>
      <c r="F105" s="71"/>
      <c r="G105" s="72"/>
      <c r="H105" s="71"/>
      <c r="I105" s="72"/>
      <c r="J105" s="71"/>
      <c r="K105" s="72"/>
      <c r="L105" s="76"/>
      <c r="M105" s="71">
        <f>89274.7</f>
        <v>89274.7</v>
      </c>
      <c r="N105" s="71">
        <f>811.5</f>
        <v>811.5</v>
      </c>
      <c r="O105" s="72"/>
      <c r="P105" s="76"/>
      <c r="Q105" s="128"/>
      <c r="R105" s="62"/>
    </row>
    <row r="106" spans="1:18" s="11" customFormat="1" ht="27" customHeight="1">
      <c r="A106" s="97">
        <v>79</v>
      </c>
      <c r="B106" s="67" t="s">
        <v>180</v>
      </c>
      <c r="C106" s="29" t="s">
        <v>30</v>
      </c>
      <c r="D106" s="71"/>
      <c r="E106" s="71"/>
      <c r="F106" s="71"/>
      <c r="G106" s="72"/>
      <c r="H106" s="71"/>
      <c r="I106" s="72"/>
      <c r="J106" s="71"/>
      <c r="K106" s="72"/>
      <c r="L106" s="76"/>
      <c r="M106" s="71">
        <f>4567.99</f>
        <v>4567.99</v>
      </c>
      <c r="N106" s="71">
        <f>60.91</f>
        <v>60.91</v>
      </c>
      <c r="O106" s="72"/>
      <c r="P106" s="76"/>
      <c r="Q106" s="128"/>
      <c r="R106" s="62"/>
    </row>
    <row r="107" spans="1:18" s="11" customFormat="1" ht="39" customHeight="1">
      <c r="A107" s="97">
        <v>80</v>
      </c>
      <c r="B107" s="67" t="s">
        <v>181</v>
      </c>
      <c r="C107" s="29" t="s">
        <v>30</v>
      </c>
      <c r="D107" s="71"/>
      <c r="E107" s="71"/>
      <c r="F107" s="71"/>
      <c r="G107" s="72"/>
      <c r="H107" s="71"/>
      <c r="I107" s="72"/>
      <c r="J107" s="71"/>
      <c r="K107" s="72"/>
      <c r="L107" s="76"/>
      <c r="M107" s="71">
        <f>65973.65</f>
        <v>65973.649999999994</v>
      </c>
      <c r="N107" s="71">
        <f>599.8</f>
        <v>599.79999999999995</v>
      </c>
      <c r="O107" s="72"/>
      <c r="P107" s="76"/>
      <c r="Q107" s="128"/>
      <c r="R107" s="62"/>
    </row>
    <row r="108" spans="1:18" s="11" customFormat="1" ht="38.25">
      <c r="A108" s="97">
        <v>81</v>
      </c>
      <c r="B108" s="67" t="s">
        <v>182</v>
      </c>
      <c r="C108" s="29" t="s">
        <v>30</v>
      </c>
      <c r="D108" s="71"/>
      <c r="E108" s="71"/>
      <c r="F108" s="71"/>
      <c r="G108" s="72"/>
      <c r="H108" s="71"/>
      <c r="I108" s="72"/>
      <c r="J108" s="71"/>
      <c r="K108" s="72"/>
      <c r="L108" s="76"/>
      <c r="M108" s="71">
        <f>3482.06</f>
        <v>3482.06</v>
      </c>
      <c r="N108" s="71">
        <f>46.5</f>
        <v>46.5</v>
      </c>
      <c r="O108" s="72"/>
      <c r="P108" s="76"/>
      <c r="Q108" s="128"/>
      <c r="R108" s="62"/>
    </row>
    <row r="109" spans="1:18" s="11" customFormat="1" ht="27" customHeight="1">
      <c r="A109" s="97">
        <v>82</v>
      </c>
      <c r="B109" s="67" t="s">
        <v>183</v>
      </c>
      <c r="C109" s="29" t="s">
        <v>30</v>
      </c>
      <c r="D109" s="71"/>
      <c r="E109" s="71"/>
      <c r="F109" s="71"/>
      <c r="G109" s="72"/>
      <c r="H109" s="71"/>
      <c r="I109" s="72"/>
      <c r="J109" s="71"/>
      <c r="K109" s="72"/>
      <c r="L109" s="76"/>
      <c r="M109" s="71">
        <f>65512.18</f>
        <v>65512.18</v>
      </c>
      <c r="N109" s="71">
        <f>595.62</f>
        <v>595.62</v>
      </c>
      <c r="O109" s="72"/>
      <c r="P109" s="76"/>
      <c r="Q109" s="128"/>
      <c r="R109" s="62"/>
    </row>
    <row r="110" spans="1:18" s="11" customFormat="1" ht="27" customHeight="1">
      <c r="A110" s="97">
        <v>83</v>
      </c>
      <c r="B110" s="67" t="s">
        <v>184</v>
      </c>
      <c r="C110" s="29" t="s">
        <v>30</v>
      </c>
      <c r="D110" s="71"/>
      <c r="E110" s="71"/>
      <c r="F110" s="71"/>
      <c r="G110" s="72"/>
      <c r="H110" s="71"/>
      <c r="I110" s="72"/>
      <c r="J110" s="71"/>
      <c r="K110" s="72"/>
      <c r="L110" s="76"/>
      <c r="M110" s="71">
        <f>667.66</f>
        <v>667.66</v>
      </c>
      <c r="N110" s="71">
        <f>9.01</f>
        <v>9.01</v>
      </c>
      <c r="O110" s="72"/>
      <c r="P110" s="76"/>
      <c r="Q110" s="128"/>
      <c r="R110" s="62"/>
    </row>
    <row r="111" spans="1:18" s="11" customFormat="1" ht="37.5">
      <c r="A111" s="97">
        <v>84</v>
      </c>
      <c r="B111" s="68" t="s">
        <v>185</v>
      </c>
      <c r="C111" s="29" t="s">
        <v>30</v>
      </c>
      <c r="D111" s="71"/>
      <c r="E111" s="71"/>
      <c r="F111" s="71"/>
      <c r="G111" s="72"/>
      <c r="H111" s="71"/>
      <c r="I111" s="72"/>
      <c r="J111" s="71"/>
      <c r="K111" s="72"/>
      <c r="L111" s="76"/>
      <c r="M111" s="71">
        <f>5830.33</f>
        <v>5830.33</v>
      </c>
      <c r="N111" s="71">
        <f>53.03</f>
        <v>53.03</v>
      </c>
      <c r="O111" s="72"/>
      <c r="P111" s="76"/>
      <c r="Q111" s="128"/>
      <c r="R111" s="62"/>
    </row>
    <row r="112" spans="1:18" s="11" customFormat="1" ht="37.5">
      <c r="A112" s="97">
        <v>85</v>
      </c>
      <c r="B112" s="68" t="s">
        <v>186</v>
      </c>
      <c r="C112" s="29" t="s">
        <v>30</v>
      </c>
      <c r="D112" s="71"/>
      <c r="E112" s="71"/>
      <c r="F112" s="71"/>
      <c r="G112" s="72"/>
      <c r="H112" s="71"/>
      <c r="I112" s="72"/>
      <c r="J112" s="71"/>
      <c r="K112" s="72"/>
      <c r="L112" s="76"/>
      <c r="M112" s="71">
        <f>18460.32</f>
        <v>18460.32</v>
      </c>
      <c r="N112" s="71">
        <f>246.15</f>
        <v>246.15</v>
      </c>
      <c r="O112" s="72"/>
      <c r="P112" s="76"/>
      <c r="Q112" s="128"/>
      <c r="R112" s="62"/>
    </row>
    <row r="113" spans="1:18" s="11" customFormat="1" ht="27" customHeight="1">
      <c r="A113" s="97">
        <v>86</v>
      </c>
      <c r="B113" s="66" t="s">
        <v>188</v>
      </c>
      <c r="C113" s="29" t="s">
        <v>30</v>
      </c>
      <c r="D113" s="71"/>
      <c r="E113" s="71"/>
      <c r="F113" s="71"/>
      <c r="G113" s="72"/>
      <c r="H113" s="71"/>
      <c r="I113" s="72"/>
      <c r="J113" s="71"/>
      <c r="K113" s="72"/>
      <c r="L113" s="76"/>
      <c r="M113" s="71">
        <f>3239.49</f>
        <v>3239.49</v>
      </c>
      <c r="N113" s="71">
        <f>29.52</f>
        <v>29.52</v>
      </c>
      <c r="O113" s="72"/>
      <c r="P113" s="76"/>
      <c r="Q113" s="128"/>
      <c r="R113" s="62"/>
    </row>
    <row r="114" spans="1:18" s="11" customFormat="1" ht="27" customHeight="1">
      <c r="A114" s="97">
        <v>87</v>
      </c>
      <c r="B114" s="67" t="s">
        <v>189</v>
      </c>
      <c r="C114" s="29" t="s">
        <v>30</v>
      </c>
      <c r="D114" s="71"/>
      <c r="E114" s="71"/>
      <c r="F114" s="71"/>
      <c r="G114" s="72"/>
      <c r="H114" s="71"/>
      <c r="I114" s="72"/>
      <c r="J114" s="71"/>
      <c r="K114" s="72"/>
      <c r="L114" s="76"/>
      <c r="M114" s="71">
        <f>902.55</f>
        <v>902.55</v>
      </c>
      <c r="N114" s="71">
        <f>12.01</f>
        <v>12.01</v>
      </c>
      <c r="O114" s="72"/>
      <c r="P114" s="76"/>
      <c r="Q114" s="128"/>
      <c r="R114" s="62"/>
    </row>
    <row r="115" spans="1:18" s="11" customFormat="1" ht="27" customHeight="1">
      <c r="A115" s="97">
        <v>88</v>
      </c>
      <c r="B115" s="66" t="s">
        <v>187</v>
      </c>
      <c r="C115" s="29" t="s">
        <v>30</v>
      </c>
      <c r="D115" s="71"/>
      <c r="E115" s="71"/>
      <c r="F115" s="71"/>
      <c r="G115" s="72"/>
      <c r="H115" s="71"/>
      <c r="I115" s="72"/>
      <c r="J115" s="71"/>
      <c r="K115" s="72"/>
      <c r="L115" s="76"/>
      <c r="M115" s="71">
        <f>4287.11</f>
        <v>4287.1099999999997</v>
      </c>
      <c r="N115" s="71">
        <f>38.87</f>
        <v>38.869999999999997</v>
      </c>
      <c r="O115" s="72"/>
      <c r="P115" s="76"/>
      <c r="Q115" s="128"/>
      <c r="R115" s="62"/>
    </row>
    <row r="116" spans="1:18" s="11" customFormat="1" ht="27" customHeight="1">
      <c r="A116" s="97">
        <v>89</v>
      </c>
      <c r="B116" s="67" t="s">
        <v>169</v>
      </c>
      <c r="C116" s="29" t="s">
        <v>30</v>
      </c>
      <c r="D116" s="71"/>
      <c r="E116" s="71"/>
      <c r="F116" s="71"/>
      <c r="G116" s="72"/>
      <c r="H116" s="71"/>
      <c r="I116" s="72"/>
      <c r="J116" s="71"/>
      <c r="K116" s="72"/>
      <c r="L116" s="76"/>
      <c r="M116" s="71">
        <f>10000+37565</f>
        <v>47565</v>
      </c>
      <c r="N116" s="71">
        <f>435</f>
        <v>435</v>
      </c>
      <c r="O116" s="72"/>
      <c r="P116" s="76"/>
      <c r="Q116" s="128"/>
      <c r="R116" s="62"/>
    </row>
    <row r="117" spans="1:18" s="11" customFormat="1" ht="24.75">
      <c r="A117" s="97">
        <v>90</v>
      </c>
      <c r="B117" s="35" t="s">
        <v>142</v>
      </c>
      <c r="C117" s="29" t="s">
        <v>30</v>
      </c>
      <c r="D117" s="71">
        <f>F117+H117+J117</f>
        <v>615919.02</v>
      </c>
      <c r="E117" s="71">
        <f t="shared" si="10"/>
        <v>15959619.119999999</v>
      </c>
      <c r="F117" s="71">
        <v>575362.14</v>
      </c>
      <c r="G117" s="72">
        <f>ROUND(F117*G4,2)</f>
        <v>14908714.15</v>
      </c>
      <c r="H117" s="71">
        <v>39750.17</v>
      </c>
      <c r="I117" s="72">
        <f>ROUND(H117*G4,2)</f>
        <v>1030001.6</v>
      </c>
      <c r="J117" s="71">
        <v>806.71</v>
      </c>
      <c r="K117" s="72">
        <f>ROUND(J117*G4,2)</f>
        <v>20903.37</v>
      </c>
      <c r="L117" s="76"/>
      <c r="M117" s="76"/>
      <c r="N117" s="76"/>
      <c r="O117" s="72" t="s">
        <v>218</v>
      </c>
      <c r="P117" s="76"/>
      <c r="Q117" s="128"/>
      <c r="R117" s="136"/>
    </row>
    <row r="118" spans="1:18" s="11" customFormat="1" ht="24.75">
      <c r="A118" s="97">
        <v>91</v>
      </c>
      <c r="B118" s="24" t="s">
        <v>141</v>
      </c>
      <c r="C118" s="29" t="s">
        <v>30</v>
      </c>
      <c r="D118" s="71">
        <f>F118+H118+J118</f>
        <v>91008.01</v>
      </c>
      <c r="E118" s="71">
        <f t="shared" si="10"/>
        <v>2358188.54</v>
      </c>
      <c r="F118" s="71">
        <v>91008.01</v>
      </c>
      <c r="G118" s="72">
        <f>ROUND(F118*G4,2)</f>
        <v>2358188.54</v>
      </c>
      <c r="H118" s="71">
        <v>0</v>
      </c>
      <c r="I118" s="72">
        <f>ROUND(H118*G4,2)</f>
        <v>0</v>
      </c>
      <c r="J118" s="71">
        <v>0</v>
      </c>
      <c r="K118" s="72">
        <f>ROUND(J118*G4,2)</f>
        <v>0</v>
      </c>
      <c r="L118" s="71">
        <f>764120.12</f>
        <v>764120.12</v>
      </c>
      <c r="M118" s="71">
        <v>232470.8</v>
      </c>
      <c r="N118" s="71">
        <v>3409.08</v>
      </c>
      <c r="O118" s="72" t="s">
        <v>219</v>
      </c>
      <c r="P118" s="76"/>
      <c r="Q118" s="128"/>
      <c r="R118" s="136"/>
    </row>
    <row r="119" spans="1:18" s="11" customFormat="1" ht="34.5" customHeight="1">
      <c r="A119" s="97">
        <v>92</v>
      </c>
      <c r="B119" s="35" t="s">
        <v>132</v>
      </c>
      <c r="C119" s="29" t="s">
        <v>30</v>
      </c>
      <c r="D119" s="71">
        <f t="shared" ref="D119:D127" si="12">F119+H119+J119</f>
        <v>159612.18</v>
      </c>
      <c r="E119" s="71">
        <f t="shared" si="10"/>
        <v>4135851.5</v>
      </c>
      <c r="F119" s="71">
        <v>159612.18</v>
      </c>
      <c r="G119" s="72">
        <f>ROUND(F119*G4,2)</f>
        <v>4135851.5</v>
      </c>
      <c r="H119" s="71"/>
      <c r="I119" s="72"/>
      <c r="J119" s="75"/>
      <c r="K119" s="76"/>
      <c r="L119" s="76"/>
      <c r="M119" s="71">
        <f>544457.47</f>
        <v>544457.47</v>
      </c>
      <c r="N119" s="71">
        <f>8072.47</f>
        <v>8072.47</v>
      </c>
      <c r="O119" s="111"/>
      <c r="P119" s="76"/>
      <c r="Q119" s="128"/>
      <c r="R119" s="136"/>
    </row>
    <row r="120" spans="1:18" s="11" customFormat="1" ht="35.25" customHeight="1">
      <c r="A120" s="97">
        <v>93</v>
      </c>
      <c r="B120" s="35" t="s">
        <v>133</v>
      </c>
      <c r="C120" s="29" t="s">
        <v>30</v>
      </c>
      <c r="D120" s="71">
        <f t="shared" si="12"/>
        <v>129210.38</v>
      </c>
      <c r="E120" s="71">
        <f t="shared" si="10"/>
        <v>3348083.73</v>
      </c>
      <c r="F120" s="71">
        <v>129210.38</v>
      </c>
      <c r="G120" s="72">
        <f>ROUND(F120*G4,2)</f>
        <v>3348083.73</v>
      </c>
      <c r="H120" s="71"/>
      <c r="I120" s="72"/>
      <c r="J120" s="75"/>
      <c r="K120" s="76"/>
      <c r="L120" s="76"/>
      <c r="M120" s="71">
        <f>262543.91</f>
        <v>262543.90999999997</v>
      </c>
      <c r="N120" s="71">
        <f>3888.9</f>
        <v>3888.9</v>
      </c>
      <c r="O120" s="111"/>
      <c r="P120" s="76"/>
      <c r="Q120" s="128"/>
      <c r="R120" s="136"/>
    </row>
    <row r="121" spans="1:18" s="11" customFormat="1" ht="24.75">
      <c r="A121" s="97">
        <v>94</v>
      </c>
      <c r="B121" s="24" t="s">
        <v>134</v>
      </c>
      <c r="C121" s="29" t="s">
        <v>30</v>
      </c>
      <c r="D121" s="71">
        <f t="shared" si="12"/>
        <v>240000</v>
      </c>
      <c r="E121" s="71">
        <f t="shared" si="10"/>
        <v>6218850.96</v>
      </c>
      <c r="F121" s="71">
        <v>240000</v>
      </c>
      <c r="G121" s="72">
        <f>ROUND(F121*G4,2)</f>
        <v>6218850.96</v>
      </c>
      <c r="H121" s="71"/>
      <c r="I121" s="72"/>
      <c r="J121" s="75"/>
      <c r="K121" s="76"/>
      <c r="L121" s="71">
        <f>1072909.43+690270.7+255705.99</f>
        <v>2018886.1199999999</v>
      </c>
      <c r="M121" s="71">
        <f>639157.11</f>
        <v>639157.11</v>
      </c>
      <c r="N121" s="71">
        <f>260.43+8048.25+1478.7</f>
        <v>9787.380000000001</v>
      </c>
      <c r="O121" s="72" t="s">
        <v>220</v>
      </c>
      <c r="P121" s="76"/>
      <c r="Q121" s="128"/>
      <c r="R121" s="136"/>
    </row>
    <row r="122" spans="1:18" s="11" customFormat="1" ht="24.75">
      <c r="A122" s="97">
        <v>95</v>
      </c>
      <c r="B122" s="24" t="s">
        <v>135</v>
      </c>
      <c r="C122" s="29" t="s">
        <v>30</v>
      </c>
      <c r="D122" s="71">
        <f t="shared" si="12"/>
        <v>46438.559999999998</v>
      </c>
      <c r="E122" s="71">
        <f t="shared" si="10"/>
        <v>1203310.3500000001</v>
      </c>
      <c r="F122" s="71">
        <v>46438.559999999998</v>
      </c>
      <c r="G122" s="72">
        <f>ROUND(F122*G4,2)</f>
        <v>1203310.3500000001</v>
      </c>
      <c r="H122" s="71"/>
      <c r="I122" s="72"/>
      <c r="J122" s="75"/>
      <c r="K122" s="76"/>
      <c r="L122" s="71">
        <f>1022823.96+1022125.88+897667.4</f>
        <v>2942617.2399999998</v>
      </c>
      <c r="M122" s="71">
        <f>289570.41</f>
        <v>289570.40999999997</v>
      </c>
      <c r="N122" s="71">
        <f>4321.94</f>
        <v>4321.9399999999996</v>
      </c>
      <c r="O122" s="111"/>
      <c r="P122" s="76"/>
      <c r="Q122" s="128"/>
      <c r="R122" s="136"/>
    </row>
    <row r="123" spans="1:18" s="11" customFormat="1" ht="37.5">
      <c r="A123" s="97">
        <v>96</v>
      </c>
      <c r="B123" s="24" t="s">
        <v>170</v>
      </c>
      <c r="C123" s="29" t="s">
        <v>30</v>
      </c>
      <c r="D123" s="71"/>
      <c r="E123" s="71"/>
      <c r="F123" s="71"/>
      <c r="G123" s="72"/>
      <c r="H123" s="71"/>
      <c r="I123" s="72"/>
      <c r="J123" s="75"/>
      <c r="K123" s="76"/>
      <c r="L123" s="71">
        <f>4246640.06</f>
        <v>4246640.0599999996</v>
      </c>
      <c r="M123" s="71">
        <f>298830.67</f>
        <v>298830.67</v>
      </c>
      <c r="N123" s="71">
        <f>4460.16</f>
        <v>4460.16</v>
      </c>
      <c r="O123" s="111"/>
      <c r="P123" s="76"/>
      <c r="Q123" s="128"/>
      <c r="R123" s="136"/>
    </row>
    <row r="124" spans="1:18" s="11" customFormat="1" ht="26.25" customHeight="1">
      <c r="A124" s="97">
        <v>97</v>
      </c>
      <c r="B124" s="24" t="s">
        <v>136</v>
      </c>
      <c r="C124" s="29" t="s">
        <v>30</v>
      </c>
      <c r="D124" s="71">
        <f t="shared" si="12"/>
        <v>80277.45</v>
      </c>
      <c r="E124" s="71">
        <f t="shared" si="10"/>
        <v>2080139.5699999998</v>
      </c>
      <c r="F124" s="71">
        <v>75046.03</v>
      </c>
      <c r="G124" s="72">
        <f>ROUND(F124*G4,2)</f>
        <v>1944583.65</v>
      </c>
      <c r="H124" s="71">
        <v>5231.42</v>
      </c>
      <c r="I124" s="72">
        <f>ROUND(H124*G4,2)</f>
        <v>135555.92000000001</v>
      </c>
      <c r="J124" s="75"/>
      <c r="K124" s="76"/>
      <c r="L124" s="76"/>
      <c r="M124" s="76"/>
      <c r="N124" s="71">
        <f>2056.26</f>
        <v>2056.2600000000002</v>
      </c>
      <c r="O124" s="111"/>
      <c r="P124" s="76"/>
      <c r="Q124" s="128"/>
      <c r="R124" s="136"/>
    </row>
    <row r="125" spans="1:18" s="11" customFormat="1" ht="37.5">
      <c r="A125" s="97">
        <v>98</v>
      </c>
      <c r="B125" s="24" t="s">
        <v>137</v>
      </c>
      <c r="C125" s="29" t="s">
        <v>30</v>
      </c>
      <c r="D125" s="71">
        <f>F125+H125+J125</f>
        <v>206374.11</v>
      </c>
      <c r="E125" s="71">
        <f t="shared" si="10"/>
        <v>5347540.97</v>
      </c>
      <c r="F125" s="71">
        <v>192714.77</v>
      </c>
      <c r="G125" s="72">
        <f>ROUND(F125*G4,2)</f>
        <v>4993601.8</v>
      </c>
      <c r="H125" s="71">
        <v>13460.52</v>
      </c>
      <c r="I125" s="72">
        <f>ROUND(H125*G4,2)</f>
        <v>348787.37</v>
      </c>
      <c r="J125" s="71">
        <v>198.82</v>
      </c>
      <c r="K125" s="72">
        <f>ROUND(J125*G4,2)</f>
        <v>5151.8</v>
      </c>
      <c r="L125" s="76"/>
      <c r="M125" s="76"/>
      <c r="N125" s="76"/>
      <c r="O125" s="111"/>
      <c r="P125" s="76"/>
      <c r="Q125" s="128"/>
      <c r="R125" s="136"/>
    </row>
    <row r="126" spans="1:18" s="11" customFormat="1" ht="26.25" customHeight="1">
      <c r="A126" s="97">
        <v>99</v>
      </c>
      <c r="B126" s="24" t="s">
        <v>138</v>
      </c>
      <c r="C126" s="29" t="s">
        <v>30</v>
      </c>
      <c r="D126" s="71">
        <f t="shared" si="12"/>
        <v>152672.21</v>
      </c>
      <c r="E126" s="71">
        <f t="shared" si="10"/>
        <v>3956023.83</v>
      </c>
      <c r="F126" s="71">
        <v>152672.21</v>
      </c>
      <c r="G126" s="72">
        <f>ROUND(F126*G4,2)</f>
        <v>3956023.83</v>
      </c>
      <c r="H126" s="71"/>
      <c r="I126" s="72"/>
      <c r="J126" s="75"/>
      <c r="K126" s="76"/>
      <c r="L126" s="71">
        <f>3777870.17+692610.51+2183161.41</f>
        <v>6653642.0899999999</v>
      </c>
      <c r="M126" s="71">
        <f>733576.22</f>
        <v>733576.22</v>
      </c>
      <c r="N126" s="71">
        <f>11067.21</f>
        <v>11067.21</v>
      </c>
      <c r="O126" s="72"/>
      <c r="P126" s="71"/>
      <c r="Q126" s="128"/>
      <c r="R126" s="136"/>
    </row>
    <row r="127" spans="1:18" s="11" customFormat="1" ht="24.75">
      <c r="A127" s="97">
        <v>100</v>
      </c>
      <c r="B127" s="24" t="s">
        <v>139</v>
      </c>
      <c r="C127" s="29" t="s">
        <v>30</v>
      </c>
      <c r="D127" s="71">
        <f t="shared" si="12"/>
        <v>300</v>
      </c>
      <c r="E127" s="71">
        <f t="shared" si="10"/>
        <v>7773.56</v>
      </c>
      <c r="F127" s="71">
        <v>300</v>
      </c>
      <c r="G127" s="72">
        <f>ROUND(F127*G4,2)</f>
        <v>7773.56</v>
      </c>
      <c r="H127" s="71"/>
      <c r="I127" s="72"/>
      <c r="J127" s="75"/>
      <c r="K127" s="76"/>
      <c r="L127" s="71">
        <f>611874.08+248284.12+248065.44+8597172.53</f>
        <v>9705396.1699999999</v>
      </c>
      <c r="M127" s="71">
        <f>1116848.29</f>
        <v>1116848.29</v>
      </c>
      <c r="N127" s="71">
        <f>16724.04</f>
        <v>16724.04</v>
      </c>
      <c r="O127" s="111"/>
      <c r="P127" s="76"/>
      <c r="Q127" s="128"/>
      <c r="R127" s="136"/>
    </row>
    <row r="128" spans="1:18" s="11" customFormat="1" ht="24.75">
      <c r="A128" s="97">
        <v>101</v>
      </c>
      <c r="B128" s="24" t="s">
        <v>146</v>
      </c>
      <c r="C128" s="29" t="s">
        <v>30</v>
      </c>
      <c r="D128" s="71"/>
      <c r="E128" s="71"/>
      <c r="F128" s="71"/>
      <c r="G128" s="72"/>
      <c r="H128" s="71"/>
      <c r="I128" s="72"/>
      <c r="J128" s="75"/>
      <c r="K128" s="76"/>
      <c r="L128" s="71">
        <f>6679892.85</f>
        <v>6679892.8499999996</v>
      </c>
      <c r="M128" s="71">
        <f>566231.9</f>
        <v>566231.9</v>
      </c>
      <c r="N128" s="71">
        <f>8436.56</f>
        <v>8436.56</v>
      </c>
      <c r="O128" s="111"/>
      <c r="P128" s="76"/>
      <c r="Q128" s="128"/>
      <c r="R128" s="136"/>
    </row>
    <row r="129" spans="1:18" s="11" customFormat="1" ht="25.5" customHeight="1">
      <c r="A129" s="70">
        <v>102</v>
      </c>
      <c r="B129" s="35" t="s">
        <v>145</v>
      </c>
      <c r="C129" s="29" t="s">
        <v>30</v>
      </c>
      <c r="D129" s="71">
        <f>F129+H129+J129</f>
        <v>195052.93000000002</v>
      </c>
      <c r="E129" s="71">
        <f t="shared" si="10"/>
        <v>5054187.92</v>
      </c>
      <c r="F129" s="71">
        <v>159904.79</v>
      </c>
      <c r="G129" s="72">
        <f>ROUND(F129*G4,2)</f>
        <v>4143433.57</v>
      </c>
      <c r="H129" s="71">
        <v>34575.51</v>
      </c>
      <c r="I129" s="72">
        <f>ROUND(H129*G4,2)</f>
        <v>895916.43</v>
      </c>
      <c r="J129" s="71">
        <v>572.63</v>
      </c>
      <c r="K129" s="72">
        <f>ROUND(J129*G4,2)</f>
        <v>14837.92</v>
      </c>
      <c r="L129" s="71">
        <f>55000+5750000+2000000+500000+500000+500000+500006.96</f>
        <v>9805006.9600000009</v>
      </c>
      <c r="M129" s="76"/>
      <c r="N129" s="76"/>
      <c r="O129" s="72" t="s">
        <v>221</v>
      </c>
      <c r="P129" s="76"/>
      <c r="Q129" s="128"/>
      <c r="R129" s="136"/>
    </row>
    <row r="130" spans="1:18" s="11" customFormat="1" ht="25.5" customHeight="1">
      <c r="A130" s="70">
        <v>103</v>
      </c>
      <c r="B130" s="35" t="s">
        <v>232</v>
      </c>
      <c r="C130" s="29" t="s">
        <v>30</v>
      </c>
      <c r="D130" s="71"/>
      <c r="E130" s="71"/>
      <c r="F130" s="71"/>
      <c r="G130" s="72"/>
      <c r="H130" s="71"/>
      <c r="I130" s="72"/>
      <c r="J130" s="71"/>
      <c r="K130" s="72"/>
      <c r="L130" s="71">
        <f>1000000.18+1707392.96+1906354.2</f>
        <v>4613747.34</v>
      </c>
      <c r="M130" s="71">
        <f>377369.62</f>
        <v>377369.62</v>
      </c>
      <c r="N130" s="71">
        <f>5632.44</f>
        <v>5632.44</v>
      </c>
      <c r="O130" s="111"/>
      <c r="P130" s="76"/>
      <c r="Q130" s="128"/>
      <c r="R130" s="136"/>
    </row>
    <row r="131" spans="1:18" s="11" customFormat="1" ht="25.5">
      <c r="A131" s="70">
        <v>104</v>
      </c>
      <c r="B131" s="35" t="s">
        <v>59</v>
      </c>
      <c r="C131" s="29" t="s">
        <v>30</v>
      </c>
      <c r="D131" s="71">
        <f>F131+H131+J131</f>
        <v>6064</v>
      </c>
      <c r="E131" s="71">
        <f t="shared" si="10"/>
        <v>157129.63999999998</v>
      </c>
      <c r="F131" s="71">
        <v>6002.24</v>
      </c>
      <c r="G131" s="72">
        <f>ROUND(F131*G4,2)</f>
        <v>155529.32</v>
      </c>
      <c r="H131" s="71">
        <v>60.54</v>
      </c>
      <c r="I131" s="72">
        <f>ROUND(H131*G4,2)</f>
        <v>1568.71</v>
      </c>
      <c r="J131" s="71">
        <v>1.22</v>
      </c>
      <c r="K131" s="72">
        <f>ROUND(J131*G4,2)</f>
        <v>31.61</v>
      </c>
      <c r="L131" s="76"/>
      <c r="M131" s="76"/>
      <c r="N131" s="76"/>
      <c r="O131" s="111"/>
      <c r="P131" s="76"/>
      <c r="Q131" s="128"/>
      <c r="R131" s="136"/>
    </row>
    <row r="132" spans="1:18" s="11" customFormat="1" ht="24.75" customHeight="1">
      <c r="A132" s="70">
        <v>105</v>
      </c>
      <c r="B132" s="24" t="s">
        <v>61</v>
      </c>
      <c r="C132" s="59" t="s">
        <v>30</v>
      </c>
      <c r="D132" s="71">
        <f>F132+H132+J132</f>
        <v>37941.369999999995</v>
      </c>
      <c r="E132" s="71">
        <f t="shared" si="10"/>
        <v>983132.17999999993</v>
      </c>
      <c r="F132" s="71">
        <v>35940.58</v>
      </c>
      <c r="G132" s="72">
        <f>ROUND(F132*G4,2)</f>
        <v>931287.96</v>
      </c>
      <c r="H132" s="71">
        <v>415.52</v>
      </c>
      <c r="I132" s="72">
        <f>ROUND(H132*G4,2)</f>
        <v>10766.9</v>
      </c>
      <c r="J132" s="71">
        <v>1585.27</v>
      </c>
      <c r="K132" s="72">
        <f>ROUND(J132*G4,2)</f>
        <v>41077.32</v>
      </c>
      <c r="L132" s="76"/>
      <c r="M132" s="76"/>
      <c r="N132" s="76"/>
      <c r="O132" s="72"/>
      <c r="P132" s="76"/>
      <c r="Q132" s="128"/>
      <c r="R132" s="136"/>
    </row>
    <row r="133" spans="1:18" s="11" customFormat="1" ht="51" customHeight="1">
      <c r="A133" s="70">
        <v>106</v>
      </c>
      <c r="B133" s="24" t="s">
        <v>212</v>
      </c>
      <c r="C133" s="59" t="s">
        <v>30</v>
      </c>
      <c r="D133" s="71">
        <f>F133+H133+J133</f>
        <v>492.18</v>
      </c>
      <c r="E133" s="71">
        <f t="shared" si="10"/>
        <v>12753.31</v>
      </c>
      <c r="F133" s="71"/>
      <c r="G133" s="72"/>
      <c r="H133" s="71">
        <v>492.18</v>
      </c>
      <c r="I133" s="72">
        <f>ROUND(H133*G4,2)</f>
        <v>12753.31</v>
      </c>
      <c r="J133" s="71"/>
      <c r="K133" s="72"/>
      <c r="L133" s="76"/>
      <c r="M133" s="71">
        <f>20468588.98</f>
        <v>20468588.98</v>
      </c>
      <c r="N133" s="76"/>
      <c r="O133" s="72"/>
      <c r="P133" s="76"/>
      <c r="Q133" s="128"/>
      <c r="R133" s="136"/>
    </row>
    <row r="134" spans="1:18" s="11" customFormat="1" ht="25.5" customHeight="1">
      <c r="A134" s="70">
        <v>107</v>
      </c>
      <c r="B134" s="24" t="s">
        <v>143</v>
      </c>
      <c r="C134" s="59" t="s">
        <v>30</v>
      </c>
      <c r="D134" s="71"/>
      <c r="E134" s="71"/>
      <c r="F134" s="71"/>
      <c r="G134" s="72"/>
      <c r="H134" s="71"/>
      <c r="I134" s="72"/>
      <c r="J134" s="71"/>
      <c r="K134" s="72"/>
      <c r="L134" s="71">
        <f>8783586.15</f>
        <v>8783586.1500000004</v>
      </c>
      <c r="M134" s="71">
        <f>717970.44</f>
        <v>717970.44</v>
      </c>
      <c r="N134" s="71">
        <f>10716.03</f>
        <v>10716.03</v>
      </c>
      <c r="O134" s="111"/>
      <c r="P134" s="76"/>
      <c r="Q134" s="128"/>
      <c r="R134" s="136"/>
    </row>
    <row r="135" spans="1:18" s="11" customFormat="1" ht="25.5" customHeight="1">
      <c r="A135" s="70">
        <v>108</v>
      </c>
      <c r="B135" s="24" t="s">
        <v>144</v>
      </c>
      <c r="C135" s="59" t="s">
        <v>30</v>
      </c>
      <c r="D135" s="71"/>
      <c r="E135" s="71"/>
      <c r="F135" s="71"/>
      <c r="G135" s="72"/>
      <c r="H135" s="71"/>
      <c r="I135" s="72"/>
      <c r="J135" s="71"/>
      <c r="K135" s="72"/>
      <c r="L135" s="71">
        <f>22980388.83</f>
        <v>22980388.829999998</v>
      </c>
      <c r="M135" s="71">
        <f>2659214.2</f>
        <v>2659214.2000000002</v>
      </c>
      <c r="N135" s="71">
        <f>39701.86</f>
        <v>39701.86</v>
      </c>
      <c r="O135" s="111"/>
      <c r="P135" s="76"/>
      <c r="Q135" s="128"/>
      <c r="R135" s="136"/>
    </row>
    <row r="136" spans="1:18" s="11" customFormat="1" ht="24" customHeight="1">
      <c r="A136" s="70">
        <v>109</v>
      </c>
      <c r="B136" s="24" t="s">
        <v>233</v>
      </c>
      <c r="C136" s="59" t="s">
        <v>30</v>
      </c>
      <c r="D136" s="71"/>
      <c r="E136" s="71"/>
      <c r="F136" s="71"/>
      <c r="G136" s="72"/>
      <c r="H136" s="71"/>
      <c r="I136" s="72"/>
      <c r="J136" s="71"/>
      <c r="K136" s="72"/>
      <c r="L136" s="71">
        <f>2000000+256445.02+24012.5+600000</f>
        <v>2880457.52</v>
      </c>
      <c r="M136" s="71">
        <f>189642.56</f>
        <v>189642.56</v>
      </c>
      <c r="N136" s="71">
        <f>2831.2</f>
        <v>2831.2</v>
      </c>
      <c r="O136" s="111"/>
      <c r="P136" s="71">
        <v>-24012.5</v>
      </c>
      <c r="Q136" s="128"/>
      <c r="R136" s="136"/>
    </row>
    <row r="137" spans="1:18" s="11" customFormat="1" ht="16.5" customHeight="1">
      <c r="A137" s="70">
        <v>110</v>
      </c>
      <c r="B137" s="24" t="s">
        <v>122</v>
      </c>
      <c r="C137" s="29" t="s">
        <v>40</v>
      </c>
      <c r="D137" s="71"/>
      <c r="E137" s="71"/>
      <c r="F137" s="71"/>
      <c r="G137" s="72"/>
      <c r="H137" s="71"/>
      <c r="I137" s="72"/>
      <c r="J137" s="71"/>
      <c r="K137" s="72"/>
      <c r="L137" s="76"/>
      <c r="M137" s="76"/>
      <c r="N137" s="76"/>
      <c r="O137" s="72">
        <v>342222201.25</v>
      </c>
      <c r="P137" s="76"/>
      <c r="Q137" s="128"/>
      <c r="R137" s="136"/>
    </row>
    <row r="138" spans="1:18" s="11" customFormat="1" ht="24.75">
      <c r="A138" s="70">
        <v>111</v>
      </c>
      <c r="B138" s="35" t="s">
        <v>190</v>
      </c>
      <c r="C138" s="29" t="s">
        <v>40</v>
      </c>
      <c r="D138" s="71"/>
      <c r="E138" s="71"/>
      <c r="F138" s="71"/>
      <c r="G138" s="72"/>
      <c r="H138" s="71"/>
      <c r="I138" s="72"/>
      <c r="J138" s="71"/>
      <c r="K138" s="72"/>
      <c r="L138" s="76"/>
      <c r="M138" s="76"/>
      <c r="N138" s="76"/>
      <c r="O138" s="72">
        <v>62321.57</v>
      </c>
      <c r="P138" s="76"/>
      <c r="Q138" s="128"/>
      <c r="R138" s="136"/>
    </row>
    <row r="139" spans="1:18" s="11" customFormat="1" ht="24.75">
      <c r="A139" s="70">
        <v>112</v>
      </c>
      <c r="B139" s="35" t="s">
        <v>191</v>
      </c>
      <c r="C139" s="29" t="s">
        <v>40</v>
      </c>
      <c r="D139" s="71"/>
      <c r="E139" s="71"/>
      <c r="F139" s="71"/>
      <c r="G139" s="72"/>
      <c r="H139" s="71"/>
      <c r="I139" s="72"/>
      <c r="J139" s="71"/>
      <c r="K139" s="72"/>
      <c r="L139" s="76"/>
      <c r="M139" s="76"/>
      <c r="N139" s="76"/>
      <c r="O139" s="72">
        <v>61131.08</v>
      </c>
      <c r="P139" s="76"/>
      <c r="Q139" s="128"/>
      <c r="R139" s="136"/>
    </row>
    <row r="140" spans="1:18" s="11" customFormat="1" ht="27" customHeight="1">
      <c r="A140" s="70">
        <v>113</v>
      </c>
      <c r="B140" s="35" t="s">
        <v>192</v>
      </c>
      <c r="C140" s="29" t="s">
        <v>40</v>
      </c>
      <c r="D140" s="71"/>
      <c r="E140" s="71"/>
      <c r="F140" s="71"/>
      <c r="G140" s="72"/>
      <c r="H140" s="71"/>
      <c r="I140" s="72"/>
      <c r="J140" s="71"/>
      <c r="K140" s="72"/>
      <c r="L140" s="76"/>
      <c r="M140" s="76"/>
      <c r="N140" s="76"/>
      <c r="O140" s="72">
        <v>57423.96</v>
      </c>
      <c r="P140" s="76"/>
      <c r="Q140" s="128"/>
      <c r="R140" s="136"/>
    </row>
    <row r="141" spans="1:18" s="11" customFormat="1" ht="24.75">
      <c r="A141" s="70">
        <v>114</v>
      </c>
      <c r="B141" s="35" t="s">
        <v>193</v>
      </c>
      <c r="C141" s="29" t="s">
        <v>40</v>
      </c>
      <c r="D141" s="71"/>
      <c r="E141" s="71"/>
      <c r="F141" s="71"/>
      <c r="G141" s="72"/>
      <c r="H141" s="71"/>
      <c r="I141" s="72"/>
      <c r="J141" s="71"/>
      <c r="K141" s="72"/>
      <c r="L141" s="76"/>
      <c r="M141" s="76"/>
      <c r="N141" s="76"/>
      <c r="O141" s="72">
        <v>10536.88</v>
      </c>
      <c r="P141" s="76"/>
      <c r="Q141" s="128"/>
      <c r="R141" s="136"/>
    </row>
    <row r="142" spans="1:18" s="11" customFormat="1" ht="24.75">
      <c r="A142" s="70">
        <v>115</v>
      </c>
      <c r="B142" s="35" t="s">
        <v>194</v>
      </c>
      <c r="C142" s="29" t="s">
        <v>40</v>
      </c>
      <c r="D142" s="71"/>
      <c r="E142" s="71"/>
      <c r="F142" s="71"/>
      <c r="G142" s="72"/>
      <c r="H142" s="71"/>
      <c r="I142" s="72"/>
      <c r="J142" s="71"/>
      <c r="K142" s="72"/>
      <c r="L142" s="76"/>
      <c r="M142" s="76"/>
      <c r="N142" s="76"/>
      <c r="O142" s="72"/>
      <c r="P142" s="71">
        <v>303569.93</v>
      </c>
      <c r="Q142" s="129"/>
      <c r="R142" s="136"/>
    </row>
    <row r="143" spans="1:18" s="11" customFormat="1" ht="15.75" customHeight="1">
      <c r="A143" s="70">
        <v>116</v>
      </c>
      <c r="B143" s="35" t="s">
        <v>95</v>
      </c>
      <c r="C143" s="29" t="s">
        <v>40</v>
      </c>
      <c r="D143" s="71"/>
      <c r="E143" s="71"/>
      <c r="F143" s="71"/>
      <c r="G143" s="72"/>
      <c r="H143" s="71"/>
      <c r="I143" s="72"/>
      <c r="J143" s="71"/>
      <c r="K143" s="72"/>
      <c r="L143" s="76"/>
      <c r="M143" s="76"/>
      <c r="N143" s="76"/>
      <c r="O143" s="72">
        <v>8644.24</v>
      </c>
      <c r="P143" s="76"/>
      <c r="Q143" s="128"/>
      <c r="R143" s="136"/>
    </row>
    <row r="144" spans="1:18" s="11" customFormat="1" ht="36.75">
      <c r="A144" s="70">
        <v>117</v>
      </c>
      <c r="B144" s="24" t="s">
        <v>200</v>
      </c>
      <c r="C144" s="29" t="s">
        <v>30</v>
      </c>
      <c r="D144" s="71"/>
      <c r="E144" s="71"/>
      <c r="F144" s="71"/>
      <c r="G144" s="72"/>
      <c r="H144" s="71"/>
      <c r="I144" s="72"/>
      <c r="J144" s="71"/>
      <c r="K144" s="72"/>
      <c r="L144" s="71"/>
      <c r="M144" s="71">
        <f>115290.51+14734099.59+10395151.84</f>
        <v>25244541.939999998</v>
      </c>
      <c r="N144" s="71">
        <f>232824.63+205478.3</f>
        <v>438302.93</v>
      </c>
      <c r="O144" s="72"/>
      <c r="P144" s="76"/>
      <c r="Q144" s="128"/>
      <c r="R144" s="136"/>
    </row>
    <row r="145" spans="1:18" s="11" customFormat="1" ht="36.75">
      <c r="A145" s="70">
        <v>118</v>
      </c>
      <c r="B145" s="24" t="s">
        <v>201</v>
      </c>
      <c r="C145" s="29" t="s">
        <v>30</v>
      </c>
      <c r="D145" s="71"/>
      <c r="E145" s="71"/>
      <c r="F145" s="71"/>
      <c r="G145" s="72"/>
      <c r="H145" s="71"/>
      <c r="I145" s="72"/>
      <c r="J145" s="71"/>
      <c r="K145" s="72"/>
      <c r="L145" s="71"/>
      <c r="M145" s="71">
        <f>23237.91+20508.59</f>
        <v>43746.5</v>
      </c>
      <c r="N145" s="71">
        <f>61968.22+54689.73</f>
        <v>116657.95000000001</v>
      </c>
      <c r="O145" s="72"/>
      <c r="P145" s="76"/>
      <c r="Q145" s="128"/>
      <c r="R145" s="136"/>
    </row>
    <row r="146" spans="1:18" s="11" customFormat="1" ht="36.75">
      <c r="A146" s="70">
        <v>119</v>
      </c>
      <c r="B146" s="24" t="s">
        <v>234</v>
      </c>
      <c r="C146" s="29" t="s">
        <v>30</v>
      </c>
      <c r="D146" s="71"/>
      <c r="E146" s="71"/>
      <c r="F146" s="71"/>
      <c r="G146" s="72"/>
      <c r="H146" s="71"/>
      <c r="I146" s="72"/>
      <c r="J146" s="71"/>
      <c r="K146" s="72"/>
      <c r="L146" s="71">
        <f>133165194.68+138207901.55</f>
        <v>271373096.23000002</v>
      </c>
      <c r="M146" s="71">
        <f>12642603.45+22689442.68</f>
        <v>35332046.129999995</v>
      </c>
      <c r="N146" s="71">
        <f>36654114.09+0.26+42153791.56</f>
        <v>78807905.909999996</v>
      </c>
      <c r="O146" s="72"/>
      <c r="P146" s="76"/>
      <c r="Q146" s="128"/>
      <c r="R146" s="136"/>
    </row>
    <row r="147" spans="1:18" s="11" customFormat="1" ht="35.25">
      <c r="A147" s="70">
        <v>120</v>
      </c>
      <c r="B147" s="24" t="s">
        <v>101</v>
      </c>
      <c r="C147" s="29" t="s">
        <v>30</v>
      </c>
      <c r="D147" s="71"/>
      <c r="E147" s="71"/>
      <c r="F147" s="71"/>
      <c r="G147" s="72"/>
      <c r="H147" s="71"/>
      <c r="I147" s="72"/>
      <c r="J147" s="71"/>
      <c r="K147" s="72"/>
      <c r="L147" s="71">
        <f>101804737.76+99675904.06</f>
        <v>201480641.81999999</v>
      </c>
      <c r="M147" s="71">
        <f>9157526.56+11033374.51</f>
        <v>20190901.07</v>
      </c>
      <c r="N147" s="71">
        <f>15799347.27+14614371.61</f>
        <v>30413718.879999999</v>
      </c>
      <c r="O147" s="72"/>
      <c r="P147" s="76"/>
      <c r="Q147" s="128"/>
      <c r="R147" s="136"/>
    </row>
    <row r="148" spans="1:18" s="11" customFormat="1" ht="38.25">
      <c r="A148" s="70">
        <v>121</v>
      </c>
      <c r="B148" s="24" t="s">
        <v>102</v>
      </c>
      <c r="C148" s="29" t="s">
        <v>30</v>
      </c>
      <c r="D148" s="71"/>
      <c r="E148" s="71"/>
      <c r="F148" s="71"/>
      <c r="G148" s="72"/>
      <c r="H148" s="71"/>
      <c r="I148" s="72"/>
      <c r="J148" s="71"/>
      <c r="K148" s="72"/>
      <c r="L148" s="71">
        <f>129654017.64+125170896.61</f>
        <v>254824914.25</v>
      </c>
      <c r="M148" s="71">
        <f>3673701.19+4230567.19</f>
        <v>7904268.3800000008</v>
      </c>
      <c r="N148" s="71">
        <f>8507149.79+6896663.46</f>
        <v>15403813.25</v>
      </c>
      <c r="O148" s="72"/>
      <c r="P148" s="76"/>
      <c r="Q148" s="128"/>
      <c r="R148" s="136"/>
    </row>
    <row r="149" spans="1:18" s="11" customFormat="1" ht="24.75">
      <c r="A149" s="70">
        <v>122</v>
      </c>
      <c r="B149" s="35" t="s">
        <v>205</v>
      </c>
      <c r="C149" s="29" t="s">
        <v>30</v>
      </c>
      <c r="D149" s="71"/>
      <c r="E149" s="71"/>
      <c r="F149" s="71"/>
      <c r="G149" s="72"/>
      <c r="H149" s="71"/>
      <c r="I149" s="72"/>
      <c r="J149" s="71"/>
      <c r="K149" s="72"/>
      <c r="L149" s="71"/>
      <c r="M149" s="71"/>
      <c r="N149" s="71"/>
      <c r="O149" s="72">
        <f>38035.22+49754.38+1086002.9</f>
        <v>1173792.5</v>
      </c>
      <c r="P149" s="76"/>
      <c r="Q149" s="128"/>
      <c r="R149" s="136"/>
    </row>
    <row r="150" spans="1:18" s="11" customFormat="1" ht="16.5" customHeight="1">
      <c r="A150" s="70">
        <v>123</v>
      </c>
      <c r="B150" s="35" t="s">
        <v>121</v>
      </c>
      <c r="C150" s="59"/>
      <c r="D150" s="71"/>
      <c r="E150" s="71"/>
      <c r="F150" s="71"/>
      <c r="G150" s="72"/>
      <c r="H150" s="71"/>
      <c r="I150" s="72"/>
      <c r="J150" s="71"/>
      <c r="K150" s="72"/>
      <c r="L150" s="71"/>
      <c r="M150" s="71"/>
      <c r="N150" s="71"/>
      <c r="O150" s="72">
        <v>798167.72</v>
      </c>
      <c r="P150" s="76"/>
      <c r="Q150" s="128"/>
      <c r="R150" s="136"/>
    </row>
    <row r="151" spans="1:18" s="11" customFormat="1" ht="24.75">
      <c r="A151" s="70">
        <v>124</v>
      </c>
      <c r="B151" s="35" t="s">
        <v>206</v>
      </c>
      <c r="C151" s="29" t="s">
        <v>30</v>
      </c>
      <c r="D151" s="71"/>
      <c r="E151" s="71"/>
      <c r="F151" s="71"/>
      <c r="G151" s="72"/>
      <c r="H151" s="71"/>
      <c r="I151" s="72"/>
      <c r="J151" s="71"/>
      <c r="K151" s="72"/>
      <c r="L151" s="71"/>
      <c r="M151" s="71"/>
      <c r="N151" s="71"/>
      <c r="O151" s="72">
        <v>5093162.7</v>
      </c>
      <c r="P151" s="76"/>
      <c r="Q151" s="128"/>
      <c r="R151" s="136"/>
    </row>
    <row r="152" spans="1:18" s="11" customFormat="1" ht="24.75">
      <c r="A152" s="70">
        <v>125</v>
      </c>
      <c r="B152" s="35" t="s">
        <v>207</v>
      </c>
      <c r="C152" s="29" t="s">
        <v>30</v>
      </c>
      <c r="D152" s="71"/>
      <c r="E152" s="71"/>
      <c r="F152" s="71"/>
      <c r="G152" s="72"/>
      <c r="H152" s="71"/>
      <c r="I152" s="72"/>
      <c r="J152" s="71"/>
      <c r="K152" s="72"/>
      <c r="L152" s="71"/>
      <c r="M152" s="71"/>
      <c r="N152" s="71"/>
      <c r="O152" s="72">
        <f>52423237.7+822086.42</f>
        <v>53245324.120000005</v>
      </c>
      <c r="P152" s="76"/>
      <c r="Q152" s="128"/>
      <c r="R152" s="136"/>
    </row>
    <row r="153" spans="1:18" s="11" customFormat="1" ht="24.75">
      <c r="A153" s="70">
        <v>126</v>
      </c>
      <c r="B153" s="35" t="s">
        <v>208</v>
      </c>
      <c r="C153" s="29" t="s">
        <v>30</v>
      </c>
      <c r="D153" s="71"/>
      <c r="E153" s="71"/>
      <c r="F153" s="71"/>
      <c r="G153" s="72"/>
      <c r="H153" s="71"/>
      <c r="I153" s="72"/>
      <c r="J153" s="71"/>
      <c r="K153" s="72"/>
      <c r="L153" s="71"/>
      <c r="M153" s="71"/>
      <c r="N153" s="71"/>
      <c r="O153" s="72">
        <f>1417261.71+16236146.04</f>
        <v>17653407.75</v>
      </c>
      <c r="P153" s="76"/>
      <c r="Q153" s="128"/>
      <c r="R153" s="136"/>
    </row>
    <row r="154" spans="1:18" s="11" customFormat="1" ht="52.5" customHeight="1">
      <c r="A154" s="70">
        <v>127</v>
      </c>
      <c r="B154" s="24" t="s">
        <v>123</v>
      </c>
      <c r="C154" s="29" t="s">
        <v>23</v>
      </c>
      <c r="D154" s="71"/>
      <c r="E154" s="71"/>
      <c r="F154" s="71"/>
      <c r="G154" s="72"/>
      <c r="H154" s="71"/>
      <c r="I154" s="72"/>
      <c r="J154" s="71"/>
      <c r="K154" s="72"/>
      <c r="L154" s="71"/>
      <c r="M154" s="71">
        <f>14.45+14.45+10943232.28</f>
        <v>10943261.18</v>
      </c>
      <c r="N154" s="71">
        <f>-14.45+2168.92</f>
        <v>2154.4700000000003</v>
      </c>
      <c r="O154" s="72">
        <v>7180.54</v>
      </c>
      <c r="P154" s="76"/>
      <c r="Q154" s="129">
        <v>246.96</v>
      </c>
      <c r="R154" s="136"/>
    </row>
    <row r="155" spans="1:18" s="11" customFormat="1" ht="25.5">
      <c r="A155" s="70">
        <v>128</v>
      </c>
      <c r="B155" s="24" t="s">
        <v>103</v>
      </c>
      <c r="C155" s="29" t="s">
        <v>30</v>
      </c>
      <c r="D155" s="71"/>
      <c r="E155" s="71"/>
      <c r="F155" s="71"/>
      <c r="G155" s="72"/>
      <c r="H155" s="71"/>
      <c r="I155" s="72"/>
      <c r="J155" s="71"/>
      <c r="K155" s="72"/>
      <c r="L155" s="71"/>
      <c r="M155" s="71"/>
      <c r="N155" s="71">
        <f>7650.13+12407.94+2093.58</f>
        <v>22151.65</v>
      </c>
      <c r="O155" s="72"/>
      <c r="P155" s="76"/>
      <c r="Q155" s="128"/>
      <c r="R155" s="136"/>
    </row>
    <row r="156" spans="1:18" s="11" customFormat="1" ht="36.75">
      <c r="A156" s="70">
        <v>129</v>
      </c>
      <c r="B156" s="66" t="s">
        <v>195</v>
      </c>
      <c r="C156" s="29" t="s">
        <v>30</v>
      </c>
      <c r="D156" s="71"/>
      <c r="E156" s="71"/>
      <c r="F156" s="71"/>
      <c r="G156" s="72"/>
      <c r="H156" s="71"/>
      <c r="I156" s="72"/>
      <c r="J156" s="71"/>
      <c r="K156" s="72"/>
      <c r="L156" s="71"/>
      <c r="M156" s="71"/>
      <c r="N156" s="71">
        <f>7059113.84</f>
        <v>7059113.8399999999</v>
      </c>
      <c r="O156" s="72"/>
      <c r="P156" s="76"/>
      <c r="Q156" s="128"/>
      <c r="R156" s="136"/>
    </row>
    <row r="157" spans="1:18" s="11" customFormat="1" ht="39" customHeight="1">
      <c r="A157" s="70">
        <v>130</v>
      </c>
      <c r="B157" s="24" t="s">
        <v>196</v>
      </c>
      <c r="C157" s="83" t="s">
        <v>23</v>
      </c>
      <c r="D157" s="71"/>
      <c r="E157" s="71"/>
      <c r="F157" s="71"/>
      <c r="G157" s="72"/>
      <c r="H157" s="71"/>
      <c r="I157" s="72"/>
      <c r="J157" s="71"/>
      <c r="K157" s="72"/>
      <c r="L157" s="71">
        <f>10004935.47+10929969.15</f>
        <v>20934904.620000001</v>
      </c>
      <c r="M157" s="71">
        <f>15015533.86+1857914.51</f>
        <v>16873448.370000001</v>
      </c>
      <c r="N157" s="71">
        <f>1833155.93+2281876.32</f>
        <v>4115032.25</v>
      </c>
      <c r="O157" s="72"/>
      <c r="P157" s="76"/>
      <c r="Q157" s="128"/>
      <c r="R157" s="136"/>
    </row>
    <row r="158" spans="1:18" s="11" customFormat="1" ht="24">
      <c r="A158" s="70">
        <v>131</v>
      </c>
      <c r="B158" s="24" t="s">
        <v>159</v>
      </c>
      <c r="C158" s="83" t="s">
        <v>30</v>
      </c>
      <c r="D158" s="71"/>
      <c r="E158" s="71"/>
      <c r="F158" s="71"/>
      <c r="G158" s="72"/>
      <c r="H158" s="71"/>
      <c r="I158" s="72"/>
      <c r="J158" s="71"/>
      <c r="K158" s="72"/>
      <c r="L158" s="71"/>
      <c r="M158" s="71"/>
      <c r="N158" s="71">
        <f>1431980.71+1174419.21</f>
        <v>2606399.92</v>
      </c>
      <c r="O158" s="72"/>
      <c r="P158" s="76"/>
      <c r="Q158" s="128"/>
      <c r="R158" s="136"/>
    </row>
    <row r="159" spans="1:18" s="11" customFormat="1" ht="25.5">
      <c r="A159" s="70">
        <v>132</v>
      </c>
      <c r="B159" s="24" t="s">
        <v>158</v>
      </c>
      <c r="C159" s="83" t="s">
        <v>23</v>
      </c>
      <c r="D159" s="71"/>
      <c r="E159" s="71"/>
      <c r="F159" s="71"/>
      <c r="G159" s="72"/>
      <c r="H159" s="71"/>
      <c r="I159" s="72"/>
      <c r="J159" s="71"/>
      <c r="K159" s="72"/>
      <c r="L159" s="71"/>
      <c r="M159" s="71"/>
      <c r="N159" s="71">
        <f>112376.47+331595.02</f>
        <v>443971.49</v>
      </c>
      <c r="O159" s="72"/>
      <c r="P159" s="76"/>
      <c r="Q159" s="128"/>
      <c r="R159" s="136"/>
    </row>
    <row r="160" spans="1:18" s="11" customFormat="1" ht="13.5" customHeight="1">
      <c r="A160" s="144">
        <v>133</v>
      </c>
      <c r="B160" s="147" t="s">
        <v>235</v>
      </c>
      <c r="C160" s="59" t="s">
        <v>23</v>
      </c>
      <c r="D160" s="71"/>
      <c r="E160" s="71"/>
      <c r="F160" s="71"/>
      <c r="G160" s="72"/>
      <c r="H160" s="71"/>
      <c r="I160" s="72"/>
      <c r="J160" s="71"/>
      <c r="K160" s="72"/>
      <c r="L160" s="71">
        <v>30193199.350000001</v>
      </c>
      <c r="M160" s="71"/>
      <c r="N160" s="71">
        <f>1453351.88+767448.45</f>
        <v>2220800.33</v>
      </c>
      <c r="O160" s="72"/>
      <c r="P160" s="71">
        <f>197805.42+955808.71</f>
        <v>1153614.1299999999</v>
      </c>
      <c r="Q160" s="129"/>
      <c r="R160" s="136"/>
    </row>
    <row r="161" spans="1:18" s="11" customFormat="1" ht="14.25" customHeight="1">
      <c r="A161" s="145"/>
      <c r="B161" s="148"/>
      <c r="C161" s="83" t="s">
        <v>30</v>
      </c>
      <c r="D161" s="71"/>
      <c r="E161" s="71"/>
      <c r="F161" s="71"/>
      <c r="G161" s="72"/>
      <c r="H161" s="71"/>
      <c r="I161" s="72"/>
      <c r="J161" s="71"/>
      <c r="K161" s="72"/>
      <c r="L161" s="71"/>
      <c r="M161" s="71"/>
      <c r="N161" s="71">
        <f>1177540.52</f>
        <v>1177540.52</v>
      </c>
      <c r="O161" s="72">
        <v>3678.71</v>
      </c>
      <c r="P161" s="71">
        <v>81148.149999999994</v>
      </c>
      <c r="Q161" s="129">
        <v>141.97</v>
      </c>
      <c r="R161" s="136"/>
    </row>
    <row r="162" spans="1:18" s="11" customFormat="1" ht="24.75">
      <c r="A162" s="70">
        <v>134</v>
      </c>
      <c r="B162" s="66" t="s">
        <v>197</v>
      </c>
      <c r="C162" s="59" t="s">
        <v>23</v>
      </c>
      <c r="D162" s="71"/>
      <c r="E162" s="71"/>
      <c r="F162" s="71"/>
      <c r="G162" s="72"/>
      <c r="H162" s="71"/>
      <c r="I162" s="72"/>
      <c r="J162" s="71"/>
      <c r="K162" s="72"/>
      <c r="L162" s="71"/>
      <c r="M162" s="71">
        <f>274309.39</f>
        <v>274309.39</v>
      </c>
      <c r="N162" s="71">
        <f>1424983.29</f>
        <v>1424983.29</v>
      </c>
      <c r="O162" s="72"/>
      <c r="P162" s="76"/>
      <c r="Q162" s="128"/>
      <c r="R162" s="136"/>
    </row>
    <row r="163" spans="1:18" s="11" customFormat="1" ht="49.5">
      <c r="A163" s="70">
        <v>135</v>
      </c>
      <c r="B163" s="143" t="s">
        <v>147</v>
      </c>
      <c r="C163" s="83" t="s">
        <v>30</v>
      </c>
      <c r="D163" s="71"/>
      <c r="E163" s="71"/>
      <c r="F163" s="71"/>
      <c r="G163" s="72"/>
      <c r="H163" s="71"/>
      <c r="I163" s="72"/>
      <c r="J163" s="71"/>
      <c r="K163" s="72"/>
      <c r="L163" s="71"/>
      <c r="M163" s="71">
        <f>24047757.28</f>
        <v>24047757.280000001</v>
      </c>
      <c r="N163" s="71"/>
      <c r="O163" s="72"/>
      <c r="P163" s="76"/>
      <c r="Q163" s="128"/>
      <c r="R163" s="136"/>
    </row>
    <row r="164" spans="1:18" s="11" customFormat="1" ht="49.5">
      <c r="A164" s="70">
        <v>136</v>
      </c>
      <c r="B164" s="143" t="s">
        <v>152</v>
      </c>
      <c r="C164" s="59" t="s">
        <v>30</v>
      </c>
      <c r="D164" s="71"/>
      <c r="E164" s="71"/>
      <c r="F164" s="71"/>
      <c r="G164" s="72"/>
      <c r="H164" s="71"/>
      <c r="I164" s="72"/>
      <c r="J164" s="71"/>
      <c r="K164" s="72"/>
      <c r="L164" s="71">
        <f>123163485.68</f>
        <v>123163485.68000001</v>
      </c>
      <c r="M164" s="71">
        <v>33183277.449999999</v>
      </c>
      <c r="N164" s="71">
        <f>22122185.05</f>
        <v>22122185.050000001</v>
      </c>
      <c r="O164" s="72"/>
      <c r="P164" s="76"/>
      <c r="Q164" s="128"/>
      <c r="R164" s="136"/>
    </row>
    <row r="165" spans="1:18" s="11" customFormat="1" ht="49.5">
      <c r="A165" s="70">
        <v>137</v>
      </c>
      <c r="B165" s="24" t="s">
        <v>153</v>
      </c>
      <c r="C165" s="59" t="s">
        <v>23</v>
      </c>
      <c r="D165" s="71"/>
      <c r="E165" s="71"/>
      <c r="F165" s="71"/>
      <c r="G165" s="72"/>
      <c r="H165" s="71"/>
      <c r="I165" s="72"/>
      <c r="J165" s="71"/>
      <c r="K165" s="72"/>
      <c r="L165" s="71">
        <f>310605907.31</f>
        <v>310605907.31</v>
      </c>
      <c r="M165" s="71">
        <f>46643245.26</f>
        <v>46643245.259999998</v>
      </c>
      <c r="N165" s="71">
        <f>15319587.98</f>
        <v>15319587.98</v>
      </c>
      <c r="O165" s="72">
        <v>527200.93999999994</v>
      </c>
      <c r="P165" s="76"/>
      <c r="Q165" s="129">
        <v>18132</v>
      </c>
      <c r="R165" s="136"/>
    </row>
    <row r="166" spans="1:18" s="11" customFormat="1" ht="51" customHeight="1">
      <c r="A166" s="70">
        <v>138</v>
      </c>
      <c r="B166" s="24" t="s">
        <v>154</v>
      </c>
      <c r="C166" s="59" t="s">
        <v>23</v>
      </c>
      <c r="D166" s="71">
        <f>F166+H166</f>
        <v>3468.41</v>
      </c>
      <c r="E166" s="71">
        <f>G166+I166+K166</f>
        <v>100846.51</v>
      </c>
      <c r="F166" s="71"/>
      <c r="G166" s="72"/>
      <c r="H166" s="71">
        <v>3468.41</v>
      </c>
      <c r="I166" s="72">
        <f>ROUND(H166*G5,2)</f>
        <v>100846.51</v>
      </c>
      <c r="J166" s="75"/>
      <c r="K166" s="76"/>
      <c r="L166" s="76"/>
      <c r="M166" s="76"/>
      <c r="N166" s="76"/>
      <c r="O166" s="72">
        <f>55084.84+74170.6</f>
        <v>129255.44</v>
      </c>
      <c r="P166" s="76"/>
      <c r="Q166" s="128"/>
      <c r="R166" s="136"/>
    </row>
    <row r="167" spans="1:18" s="11" customFormat="1" ht="38.25" customHeight="1">
      <c r="A167" s="70">
        <v>139</v>
      </c>
      <c r="B167" s="24" t="s">
        <v>155</v>
      </c>
      <c r="C167" s="59" t="s">
        <v>23</v>
      </c>
      <c r="D167" s="71"/>
      <c r="E167" s="71"/>
      <c r="F167" s="71"/>
      <c r="G167" s="72"/>
      <c r="H167" s="71"/>
      <c r="I167" s="72"/>
      <c r="J167" s="75"/>
      <c r="K167" s="76"/>
      <c r="L167" s="72">
        <f>253799209.27+244923274.59</f>
        <v>498722483.86000001</v>
      </c>
      <c r="M167" s="72">
        <f>17779861.49+12912151.33</f>
        <v>30692012.82</v>
      </c>
      <c r="N167" s="72">
        <f>8523423.53+7369949.25</f>
        <v>15893372.779999999</v>
      </c>
      <c r="O167" s="72">
        <f>18452.81+2337.36+831.38</f>
        <v>21621.550000000003</v>
      </c>
      <c r="P167" s="72"/>
      <c r="Q167" s="62"/>
      <c r="R167" s="136"/>
    </row>
    <row r="168" spans="1:18" s="11" customFormat="1" ht="37.5">
      <c r="A168" s="70">
        <v>140</v>
      </c>
      <c r="B168" s="24" t="s">
        <v>156</v>
      </c>
      <c r="C168" s="59" t="s">
        <v>23</v>
      </c>
      <c r="D168" s="71"/>
      <c r="E168" s="71"/>
      <c r="F168" s="71"/>
      <c r="G168" s="72"/>
      <c r="H168" s="71"/>
      <c r="I168" s="72"/>
      <c r="J168" s="75"/>
      <c r="K168" s="76"/>
      <c r="L168" s="72">
        <f>119313668.44</f>
        <v>119313668.44</v>
      </c>
      <c r="M168" s="72">
        <f>4815923.83</f>
        <v>4815923.83</v>
      </c>
      <c r="N168" s="72">
        <f>2412787.65</f>
        <v>2412787.65</v>
      </c>
      <c r="O168" s="72"/>
      <c r="P168" s="72"/>
      <c r="Q168" s="62"/>
      <c r="R168" s="136"/>
    </row>
    <row r="169" spans="1:18" s="11" customFormat="1" ht="51.75" customHeight="1">
      <c r="A169" s="70">
        <v>141</v>
      </c>
      <c r="B169" s="34" t="s">
        <v>160</v>
      </c>
      <c r="C169" s="29" t="s">
        <v>23</v>
      </c>
      <c r="D169" s="71">
        <f>F169+H169+J169</f>
        <v>32331.190000000002</v>
      </c>
      <c r="E169" s="71">
        <f>G169+I169+K169</f>
        <v>940052.59000000008</v>
      </c>
      <c r="F169" s="71"/>
      <c r="G169" s="72"/>
      <c r="H169" s="71">
        <v>20414.04</v>
      </c>
      <c r="I169" s="72">
        <f>ROUND(H169*G5,2)</f>
        <v>593552.89</v>
      </c>
      <c r="J169" s="71">
        <v>11917.15</v>
      </c>
      <c r="K169" s="72">
        <f>ROUND(J169*G5,2)</f>
        <v>346499.7</v>
      </c>
      <c r="L169" s="72">
        <f>144698420.54+171837097.92</f>
        <v>316535518.45999998</v>
      </c>
      <c r="M169" s="72">
        <f>17565526.95+11372990.95</f>
        <v>28938517.899999999</v>
      </c>
      <c r="N169" s="72">
        <f>14810730.85+13348581.01</f>
        <v>28159311.859999999</v>
      </c>
      <c r="O169" s="72">
        <f>118681.92+69283.22</f>
        <v>187965.14</v>
      </c>
      <c r="P169" s="76"/>
      <c r="Q169" s="128"/>
      <c r="R169" s="136"/>
    </row>
    <row r="170" spans="1:18" s="11" customFormat="1" ht="51" customHeight="1">
      <c r="A170" s="70">
        <v>142</v>
      </c>
      <c r="B170" s="34" t="s">
        <v>157</v>
      </c>
      <c r="C170" s="29" t="s">
        <v>23</v>
      </c>
      <c r="D170" s="71"/>
      <c r="E170" s="71"/>
      <c r="F170" s="71"/>
      <c r="G170" s="72"/>
      <c r="H170" s="71"/>
      <c r="I170" s="72"/>
      <c r="J170" s="71"/>
      <c r="K170" s="72"/>
      <c r="L170" s="72"/>
      <c r="M170" s="72">
        <f>3432187.4+16473632.83+844891.3+3353416.44</f>
        <v>24104127.970000003</v>
      </c>
      <c r="N170" s="72">
        <f>11834506.2</f>
        <v>11834506.199999999</v>
      </c>
      <c r="O170" s="72">
        <v>1301.0999999999999</v>
      </c>
      <c r="P170" s="76"/>
      <c r="Q170" s="128"/>
      <c r="R170" s="136"/>
    </row>
    <row r="171" spans="1:18" s="11" customFormat="1" ht="39" customHeight="1">
      <c r="A171" s="70">
        <v>143</v>
      </c>
      <c r="B171" s="24" t="s">
        <v>151</v>
      </c>
      <c r="C171" s="59" t="s">
        <v>23</v>
      </c>
      <c r="D171" s="71"/>
      <c r="E171" s="71"/>
      <c r="F171" s="71"/>
      <c r="G171" s="72"/>
      <c r="H171" s="71"/>
      <c r="I171" s="72"/>
      <c r="J171" s="75"/>
      <c r="K171" s="76"/>
      <c r="L171" s="72"/>
      <c r="M171" s="72">
        <f>2904956.37+3281418.02</f>
        <v>6186374.3900000006</v>
      </c>
      <c r="N171" s="72">
        <f>464217.58</f>
        <v>464217.58</v>
      </c>
      <c r="O171" s="72"/>
      <c r="P171" s="72"/>
      <c r="Q171" s="128"/>
      <c r="R171" s="136"/>
    </row>
    <row r="172" spans="1:18" s="11" customFormat="1" ht="41.25" customHeight="1">
      <c r="A172" s="70">
        <v>144</v>
      </c>
      <c r="B172" s="91" t="s">
        <v>214</v>
      </c>
      <c r="C172" s="59" t="s">
        <v>23</v>
      </c>
      <c r="D172" s="71"/>
      <c r="E172" s="71"/>
      <c r="F172" s="71"/>
      <c r="G172" s="72"/>
      <c r="H172" s="71"/>
      <c r="I172" s="72"/>
      <c r="J172" s="75"/>
      <c r="K172" s="76"/>
      <c r="L172" s="72"/>
      <c r="M172" s="72"/>
      <c r="N172" s="72">
        <f>631320.92</f>
        <v>631320.92000000004</v>
      </c>
      <c r="O172" s="72"/>
      <c r="P172" s="72"/>
      <c r="Q172" s="128"/>
      <c r="R172" s="136"/>
    </row>
    <row r="173" spans="1:18" s="11" customFormat="1" ht="49.5">
      <c r="A173" s="70">
        <v>145</v>
      </c>
      <c r="B173" s="34" t="s">
        <v>161</v>
      </c>
      <c r="C173" s="29" t="s">
        <v>23</v>
      </c>
      <c r="D173" s="71"/>
      <c r="E173" s="71"/>
      <c r="F173" s="71"/>
      <c r="G173" s="72"/>
      <c r="H173" s="71"/>
      <c r="I173" s="72"/>
      <c r="J173" s="71"/>
      <c r="K173" s="72"/>
      <c r="L173" s="72">
        <f>30365916.76+28911327.18</f>
        <v>59277243.939999998</v>
      </c>
      <c r="M173" s="72">
        <f>7164527.28+5102125.2</f>
        <v>12266652.48</v>
      </c>
      <c r="N173" s="72">
        <f>19414266.53+17794446.29</f>
        <v>37208712.82</v>
      </c>
      <c r="O173" s="111"/>
      <c r="P173" s="76"/>
      <c r="Q173" s="128"/>
      <c r="R173" s="136"/>
    </row>
    <row r="174" spans="1:18" s="11" customFormat="1" ht="37.5" customHeight="1">
      <c r="A174" s="70">
        <v>146</v>
      </c>
      <c r="B174" s="24" t="s">
        <v>148</v>
      </c>
      <c r="C174" s="59" t="s">
        <v>23</v>
      </c>
      <c r="D174" s="71"/>
      <c r="E174" s="71"/>
      <c r="F174" s="71"/>
      <c r="G174" s="72"/>
      <c r="H174" s="71"/>
      <c r="I174" s="72"/>
      <c r="J174" s="71"/>
      <c r="K174" s="72"/>
      <c r="L174" s="72">
        <f>101457757.58</f>
        <v>101457757.58</v>
      </c>
      <c r="M174" s="72">
        <f>17329319.77</f>
        <v>17329319.77</v>
      </c>
      <c r="N174" s="72">
        <f>19026643.51</f>
        <v>19026643.510000002</v>
      </c>
      <c r="O174" s="111"/>
      <c r="P174" s="76"/>
      <c r="Q174" s="128"/>
      <c r="R174" s="136"/>
    </row>
    <row r="175" spans="1:18" s="11" customFormat="1" ht="36.75">
      <c r="A175" s="70">
        <v>147</v>
      </c>
      <c r="B175" s="67" t="s">
        <v>198</v>
      </c>
      <c r="C175" s="59" t="s">
        <v>23</v>
      </c>
      <c r="D175" s="71"/>
      <c r="E175" s="71"/>
      <c r="F175" s="71"/>
      <c r="G175" s="72"/>
      <c r="H175" s="71"/>
      <c r="I175" s="72"/>
      <c r="J175" s="71"/>
      <c r="K175" s="72"/>
      <c r="L175" s="72">
        <f>219365893.58</f>
        <v>219365893.58000001</v>
      </c>
      <c r="M175" s="72">
        <f>16646581.32</f>
        <v>16646581.32</v>
      </c>
      <c r="N175" s="72">
        <f>30763881.49</f>
        <v>30763881.489999998</v>
      </c>
      <c r="O175" s="111"/>
      <c r="P175" s="76"/>
      <c r="Q175" s="128"/>
      <c r="R175" s="136"/>
    </row>
    <row r="176" spans="1:18" s="11" customFormat="1" ht="36.75">
      <c r="A176" s="70">
        <v>148</v>
      </c>
      <c r="B176" s="66" t="s">
        <v>199</v>
      </c>
      <c r="C176" s="59" t="s">
        <v>23</v>
      </c>
      <c r="D176" s="71"/>
      <c r="E176" s="71"/>
      <c r="F176" s="71"/>
      <c r="G176" s="72"/>
      <c r="H176" s="71"/>
      <c r="I176" s="72"/>
      <c r="J176" s="71"/>
      <c r="K176" s="72"/>
      <c r="L176" s="72"/>
      <c r="M176" s="72"/>
      <c r="N176" s="72">
        <f>1024390.81</f>
        <v>1024390.81</v>
      </c>
      <c r="O176" s="111"/>
      <c r="P176" s="76"/>
      <c r="Q176" s="128"/>
      <c r="R176" s="136"/>
    </row>
    <row r="177" spans="1:18" s="11" customFormat="1" ht="37.5" customHeight="1">
      <c r="A177" s="70">
        <v>149</v>
      </c>
      <c r="B177" s="24" t="s">
        <v>149</v>
      </c>
      <c r="C177" s="59" t="s">
        <v>23</v>
      </c>
      <c r="D177" s="71"/>
      <c r="E177" s="71"/>
      <c r="F177" s="71"/>
      <c r="G177" s="72"/>
      <c r="H177" s="71"/>
      <c r="I177" s="72"/>
      <c r="J177" s="71"/>
      <c r="K177" s="72"/>
      <c r="L177" s="72"/>
      <c r="M177" s="72">
        <f>4825470.46</f>
        <v>4825470.46</v>
      </c>
      <c r="N177" s="72">
        <f>8307498.99</f>
        <v>8307498.9900000002</v>
      </c>
      <c r="O177" s="111"/>
      <c r="P177" s="76"/>
      <c r="Q177" s="128"/>
      <c r="R177" s="136"/>
    </row>
    <row r="178" spans="1:18" s="11" customFormat="1" ht="38.25">
      <c r="A178" s="70">
        <v>150</v>
      </c>
      <c r="B178" s="34" t="s">
        <v>202</v>
      </c>
      <c r="C178" s="59" t="s">
        <v>23</v>
      </c>
      <c r="D178" s="71"/>
      <c r="E178" s="71"/>
      <c r="F178" s="71"/>
      <c r="G178" s="72"/>
      <c r="H178" s="71"/>
      <c r="I178" s="72"/>
      <c r="J178" s="71"/>
      <c r="K178" s="72"/>
      <c r="L178" s="72"/>
      <c r="M178" s="72">
        <f>1408815.13</f>
        <v>1408815.13</v>
      </c>
      <c r="N178" s="72"/>
      <c r="O178" s="111"/>
      <c r="P178" s="76"/>
      <c r="Q178" s="128"/>
      <c r="R178" s="136"/>
    </row>
    <row r="179" spans="1:18" s="11" customFormat="1" ht="38.25" customHeight="1">
      <c r="A179" s="70">
        <v>151</v>
      </c>
      <c r="B179" s="34" t="s">
        <v>124</v>
      </c>
      <c r="C179" s="29" t="s">
        <v>30</v>
      </c>
      <c r="D179" s="71">
        <f>F179</f>
        <v>2424426.41</v>
      </c>
      <c r="E179" s="71">
        <f>G179</f>
        <v>62821443.780000001</v>
      </c>
      <c r="F179" s="71">
        <v>2424426.41</v>
      </c>
      <c r="G179" s="72">
        <f>ROUND(F179*G4,2)</f>
        <v>62821443.780000001</v>
      </c>
      <c r="H179" s="71"/>
      <c r="I179" s="72"/>
      <c r="J179" s="75"/>
      <c r="K179" s="76"/>
      <c r="L179" s="76"/>
      <c r="M179" s="76"/>
      <c r="N179" s="76"/>
      <c r="O179" s="72">
        <f>1446125.62+5320.28+442.09</f>
        <v>1451887.9900000002</v>
      </c>
      <c r="P179" s="76"/>
      <c r="Q179" s="128"/>
      <c r="R179" s="136"/>
    </row>
    <row r="180" spans="1:18" s="15" customFormat="1" ht="18.75">
      <c r="A180" s="12" t="s">
        <v>7</v>
      </c>
      <c r="B180" s="12"/>
      <c r="C180" s="13"/>
      <c r="D180" s="14" t="s">
        <v>8</v>
      </c>
      <c r="E180" s="54">
        <f>SUM(E19:E179)</f>
        <v>42390336752.389992</v>
      </c>
      <c r="F180" s="14" t="s">
        <v>8</v>
      </c>
      <c r="G180" s="54">
        <f>SUM(G19:G179)</f>
        <v>42074662131.439987</v>
      </c>
      <c r="H180" s="14" t="s">
        <v>8</v>
      </c>
      <c r="I180" s="54">
        <f>SUM(I19:I179)</f>
        <v>107189291.47</v>
      </c>
      <c r="J180" s="14" t="s">
        <v>8</v>
      </c>
      <c r="K180" s="54">
        <f>SUM(K19:K179)</f>
        <v>208485329.47999999</v>
      </c>
      <c r="L180" s="54">
        <f>SUM(L19:L179)</f>
        <v>3496450639.1700001</v>
      </c>
      <c r="M180" s="54">
        <f>SUM(M19:M179)</f>
        <v>472387982.4799999</v>
      </c>
      <c r="N180" s="54">
        <f>SUM(N19:N179)</f>
        <v>376022387.59999996</v>
      </c>
      <c r="O180" s="14" t="s">
        <v>8</v>
      </c>
      <c r="P180" s="54">
        <f>SUM(P19:P179)</f>
        <v>1519756.0399999998</v>
      </c>
      <c r="Q180" s="130"/>
      <c r="R180" s="139"/>
    </row>
    <row r="181" spans="1:18" s="16" customFormat="1" ht="18.75">
      <c r="A181" s="179" t="s">
        <v>9</v>
      </c>
      <c r="B181" s="180"/>
      <c r="C181" s="180"/>
      <c r="D181" s="180"/>
      <c r="E181" s="180"/>
      <c r="F181" s="180"/>
      <c r="G181" s="180"/>
      <c r="H181" s="180"/>
      <c r="I181" s="180"/>
      <c r="J181" s="180"/>
      <c r="K181" s="180"/>
      <c r="L181" s="180"/>
      <c r="M181" s="180"/>
      <c r="N181" s="180"/>
      <c r="O181" s="180"/>
      <c r="P181" s="181"/>
      <c r="Q181" s="131"/>
      <c r="R181" s="140"/>
    </row>
    <row r="182" spans="1:18" s="48" customFormat="1" ht="18.75">
      <c r="A182" s="29">
        <v>1</v>
      </c>
      <c r="B182" s="24" t="s">
        <v>69</v>
      </c>
      <c r="C182" s="29" t="s">
        <v>23</v>
      </c>
      <c r="D182" s="71">
        <f>F182</f>
        <v>586675.72</v>
      </c>
      <c r="E182" s="71">
        <f>G182</f>
        <v>17058018.379999999</v>
      </c>
      <c r="F182" s="72">
        <v>586675.72</v>
      </c>
      <c r="G182" s="72">
        <f>ROUND(F182*G5,2)</f>
        <v>17058018.379999999</v>
      </c>
      <c r="H182" s="84"/>
      <c r="I182" s="84"/>
      <c r="J182" s="84"/>
      <c r="K182" s="84"/>
      <c r="L182" s="84"/>
      <c r="M182" s="84"/>
      <c r="N182" s="84"/>
      <c r="O182" s="72">
        <v>6700456.0999999996</v>
      </c>
      <c r="P182" s="84"/>
      <c r="Q182" s="131"/>
      <c r="R182" s="141"/>
    </row>
    <row r="183" spans="1:18" s="48" customFormat="1" ht="18.75">
      <c r="A183" s="93">
        <v>2</v>
      </c>
      <c r="B183" s="99" t="s">
        <v>72</v>
      </c>
      <c r="C183" s="32" t="s">
        <v>23</v>
      </c>
      <c r="D183" s="95">
        <f>F183+H183</f>
        <v>18258011.09</v>
      </c>
      <c r="E183" s="95">
        <f t="shared" ref="E183:E193" si="13">G183</f>
        <v>530864799.94999999</v>
      </c>
      <c r="F183" s="105">
        <v>18258011.09</v>
      </c>
      <c r="G183" s="106">
        <f>ROUND(F183*G5,2)</f>
        <v>530864799.94999999</v>
      </c>
      <c r="H183" s="85"/>
      <c r="I183" s="85"/>
      <c r="J183" s="85"/>
      <c r="K183" s="85"/>
      <c r="L183" s="85"/>
      <c r="M183" s="85"/>
      <c r="N183" s="85"/>
      <c r="O183" s="72">
        <v>112161723.56</v>
      </c>
      <c r="P183" s="85"/>
      <c r="Q183" s="131"/>
      <c r="R183" s="141"/>
    </row>
    <row r="184" spans="1:18" s="48" customFormat="1" ht="18.75">
      <c r="A184" s="93">
        <v>3</v>
      </c>
      <c r="B184" s="27" t="s">
        <v>62</v>
      </c>
      <c r="C184" s="47" t="s">
        <v>23</v>
      </c>
      <c r="D184" s="71">
        <f>F184</f>
        <v>746011.29</v>
      </c>
      <c r="E184" s="71">
        <f t="shared" si="13"/>
        <v>21690814.640000001</v>
      </c>
      <c r="F184" s="86">
        <v>746011.29</v>
      </c>
      <c r="G184" s="72">
        <f>ROUND(F184*G5,2)</f>
        <v>21690814.640000001</v>
      </c>
      <c r="H184" s="85"/>
      <c r="I184" s="85"/>
      <c r="J184" s="85"/>
      <c r="K184" s="85"/>
      <c r="L184" s="85"/>
      <c r="M184" s="85"/>
      <c r="N184" s="85"/>
      <c r="O184" s="72">
        <v>8448765.0099999998</v>
      </c>
      <c r="P184" s="85"/>
      <c r="Q184" s="131"/>
      <c r="R184" s="141"/>
    </row>
    <row r="185" spans="1:18" s="48" customFormat="1" ht="18.75">
      <c r="A185" s="93">
        <v>4</v>
      </c>
      <c r="B185" s="20" t="s">
        <v>63</v>
      </c>
      <c r="C185" s="92" t="s">
        <v>23</v>
      </c>
      <c r="D185" s="71">
        <f>F185+H185</f>
        <v>43429950.75</v>
      </c>
      <c r="E185" s="71">
        <f t="shared" si="13"/>
        <v>1262757044.1900001</v>
      </c>
      <c r="F185" s="74">
        <v>43429950.75</v>
      </c>
      <c r="G185" s="72">
        <f>ROUND(F185*G5,2)</f>
        <v>1262757044.1900001</v>
      </c>
      <c r="H185" s="85"/>
      <c r="I185" s="85"/>
      <c r="J185" s="85"/>
      <c r="K185" s="85"/>
      <c r="L185" s="85"/>
      <c r="M185" s="85"/>
      <c r="N185" s="85"/>
      <c r="O185" s="72">
        <v>238313103.72</v>
      </c>
      <c r="P185" s="85"/>
      <c r="Q185" s="131"/>
      <c r="R185" s="141"/>
    </row>
    <row r="186" spans="1:18" s="48" customFormat="1" ht="18.75">
      <c r="A186" s="29">
        <v>5</v>
      </c>
      <c r="B186" s="22" t="s">
        <v>73</v>
      </c>
      <c r="C186" s="29" t="s">
        <v>23</v>
      </c>
      <c r="D186" s="71">
        <f>F186</f>
        <v>3470193</v>
      </c>
      <c r="E186" s="71">
        <f t="shared" si="13"/>
        <v>100898356.54000001</v>
      </c>
      <c r="F186" s="74">
        <v>3470193</v>
      </c>
      <c r="G186" s="72">
        <f>ROUND(F186*G5,2)</f>
        <v>100898356.54000001</v>
      </c>
      <c r="H186" s="85"/>
      <c r="I186" s="85"/>
      <c r="J186" s="85"/>
      <c r="K186" s="85"/>
      <c r="L186" s="85"/>
      <c r="M186" s="85"/>
      <c r="N186" s="85"/>
      <c r="O186" s="72">
        <v>13328598.359999999</v>
      </c>
      <c r="P186" s="85"/>
      <c r="Q186" s="131"/>
      <c r="R186" s="141"/>
    </row>
    <row r="187" spans="1:18" s="48" customFormat="1" ht="18.75">
      <c r="A187" s="93">
        <v>6</v>
      </c>
      <c r="B187" s="20" t="s">
        <v>90</v>
      </c>
      <c r="C187" s="29" t="s">
        <v>23</v>
      </c>
      <c r="D187" s="71">
        <f>F187+H187</f>
        <v>4796733.09</v>
      </c>
      <c r="E187" s="71">
        <f t="shared" si="13"/>
        <v>139468463.44</v>
      </c>
      <c r="F187" s="86">
        <v>4796733.09</v>
      </c>
      <c r="G187" s="72">
        <f>ROUND(F187*G5,2)</f>
        <v>139468463.44</v>
      </c>
      <c r="H187" s="85"/>
      <c r="I187" s="85"/>
      <c r="J187" s="85"/>
      <c r="K187" s="85"/>
      <c r="L187" s="85"/>
      <c r="M187" s="85"/>
      <c r="N187" s="85"/>
      <c r="O187" s="72">
        <v>29257232.5</v>
      </c>
      <c r="P187" s="85"/>
      <c r="Q187" s="131"/>
      <c r="R187" s="141"/>
    </row>
    <row r="188" spans="1:18" s="48" customFormat="1" ht="18.75">
      <c r="A188" s="93">
        <v>7</v>
      </c>
      <c r="B188" s="98" t="s">
        <v>77</v>
      </c>
      <c r="C188" s="92" t="s">
        <v>23</v>
      </c>
      <c r="D188" s="71">
        <f>F188+H188</f>
        <v>87918.73</v>
      </c>
      <c r="E188" s="71">
        <f t="shared" si="13"/>
        <v>2556300.29</v>
      </c>
      <c r="F188" s="86">
        <v>87918.73</v>
      </c>
      <c r="G188" s="72">
        <f>ROUND(F188*G5,2)</f>
        <v>2556300.29</v>
      </c>
      <c r="H188" s="85"/>
      <c r="I188" s="85"/>
      <c r="J188" s="85"/>
      <c r="K188" s="85"/>
      <c r="L188" s="85"/>
      <c r="M188" s="85"/>
      <c r="N188" s="85"/>
      <c r="O188" s="72">
        <v>1383395.62</v>
      </c>
      <c r="P188" s="85"/>
      <c r="Q188" s="131"/>
      <c r="R188" s="141"/>
    </row>
    <row r="189" spans="1:18" s="48" customFormat="1" ht="18.75">
      <c r="A189" s="93">
        <v>8</v>
      </c>
      <c r="B189" s="22" t="s">
        <v>80</v>
      </c>
      <c r="C189" s="29" t="s">
        <v>30</v>
      </c>
      <c r="D189" s="71">
        <f>F189</f>
        <v>30620461.989999998</v>
      </c>
      <c r="E189" s="71">
        <f t="shared" si="13"/>
        <v>793433706.00999999</v>
      </c>
      <c r="F189" s="86">
        <v>30620461.989999998</v>
      </c>
      <c r="G189" s="72">
        <f>ROUND(F189*G4,2)</f>
        <v>793433706.00999999</v>
      </c>
      <c r="H189" s="85"/>
      <c r="I189" s="85"/>
      <c r="J189" s="85"/>
      <c r="K189" s="85"/>
      <c r="L189" s="85"/>
      <c r="M189" s="85"/>
      <c r="N189" s="85"/>
      <c r="O189" s="72">
        <v>38562168.659999996</v>
      </c>
      <c r="P189" s="85"/>
      <c r="Q189" s="131"/>
      <c r="R189" s="141"/>
    </row>
    <row r="190" spans="1:18" s="48" customFormat="1" ht="38.25">
      <c r="A190" s="93">
        <v>9</v>
      </c>
      <c r="B190" s="24" t="s">
        <v>125</v>
      </c>
      <c r="C190" s="36" t="s">
        <v>23</v>
      </c>
      <c r="D190" s="71">
        <f>F190+H190</f>
        <v>4679412.08</v>
      </c>
      <c r="E190" s="71">
        <f t="shared" si="13"/>
        <v>136057270.72</v>
      </c>
      <c r="F190" s="86">
        <v>4679412.08</v>
      </c>
      <c r="G190" s="72">
        <f>ROUND(F190*G5,2)</f>
        <v>136057270.72</v>
      </c>
      <c r="H190" s="85"/>
      <c r="I190" s="85"/>
      <c r="J190" s="85"/>
      <c r="K190" s="85"/>
      <c r="L190" s="85"/>
      <c r="M190" s="85"/>
      <c r="N190" s="85"/>
      <c r="O190" s="72">
        <v>25013182.059999999</v>
      </c>
      <c r="P190" s="72"/>
      <c r="Q190" s="62"/>
      <c r="R190" s="141"/>
    </row>
    <row r="191" spans="1:18" s="48" customFormat="1" ht="18.75">
      <c r="A191" s="93">
        <v>10</v>
      </c>
      <c r="B191" s="20" t="s">
        <v>64</v>
      </c>
      <c r="C191" s="92" t="s">
        <v>23</v>
      </c>
      <c r="D191" s="71">
        <f>F191</f>
        <v>449790.77</v>
      </c>
      <c r="E191" s="71">
        <f t="shared" si="13"/>
        <v>13077990.039999999</v>
      </c>
      <c r="F191" s="74">
        <v>449790.77</v>
      </c>
      <c r="G191" s="72">
        <f>ROUND(F191*G5,2)</f>
        <v>13077990.039999999</v>
      </c>
      <c r="H191" s="85"/>
      <c r="I191" s="85"/>
      <c r="J191" s="85"/>
      <c r="K191" s="85"/>
      <c r="L191" s="85"/>
      <c r="M191" s="85"/>
      <c r="N191" s="85"/>
      <c r="O191" s="72">
        <v>1051695.43</v>
      </c>
      <c r="P191" s="85"/>
      <c r="Q191" s="131"/>
      <c r="R191" s="141"/>
    </row>
    <row r="192" spans="1:18" s="48" customFormat="1" ht="18.75">
      <c r="A192" s="93">
        <v>11</v>
      </c>
      <c r="B192" s="24" t="s">
        <v>65</v>
      </c>
      <c r="C192" s="21" t="s">
        <v>30</v>
      </c>
      <c r="D192" s="71">
        <f>F192</f>
        <v>12957203.119999999</v>
      </c>
      <c r="E192" s="71">
        <f t="shared" si="13"/>
        <v>335745479.42000002</v>
      </c>
      <c r="F192" s="74">
        <v>12957203.119999999</v>
      </c>
      <c r="G192" s="72">
        <f>ROUND(F192*G4,2)</f>
        <v>335745479.42000002</v>
      </c>
      <c r="H192" s="85"/>
      <c r="I192" s="85"/>
      <c r="J192" s="85"/>
      <c r="K192" s="85"/>
      <c r="L192" s="85"/>
      <c r="M192" s="85"/>
      <c r="N192" s="85"/>
      <c r="O192" s="72">
        <v>75437118.099999994</v>
      </c>
      <c r="P192" s="85"/>
      <c r="Q192" s="131"/>
      <c r="R192" s="141"/>
    </row>
    <row r="193" spans="1:18" s="48" customFormat="1" ht="18.75">
      <c r="A193" s="93">
        <v>12</v>
      </c>
      <c r="B193" s="98" t="s">
        <v>76</v>
      </c>
      <c r="C193" s="92" t="s">
        <v>23</v>
      </c>
      <c r="D193" s="71">
        <f>F193+H193</f>
        <v>2698849.2</v>
      </c>
      <c r="E193" s="71">
        <f t="shared" si="13"/>
        <v>78470980.959999993</v>
      </c>
      <c r="F193" s="86">
        <v>2698849.2</v>
      </c>
      <c r="G193" s="72">
        <f>ROUND(F193*G5,2)</f>
        <v>78470980.959999993</v>
      </c>
      <c r="H193" s="85"/>
      <c r="I193" s="85"/>
      <c r="J193" s="85"/>
      <c r="K193" s="85"/>
      <c r="L193" s="85"/>
      <c r="M193" s="85"/>
      <c r="N193" s="85"/>
      <c r="O193" s="72">
        <v>12992338</v>
      </c>
      <c r="P193" s="85"/>
      <c r="Q193" s="131"/>
      <c r="R193" s="141"/>
    </row>
    <row r="194" spans="1:18" s="48" customFormat="1" ht="18.75">
      <c r="A194" s="93">
        <v>13</v>
      </c>
      <c r="B194" s="98" t="s">
        <v>105</v>
      </c>
      <c r="C194" s="92" t="s">
        <v>23</v>
      </c>
      <c r="D194" s="71"/>
      <c r="E194" s="71"/>
      <c r="F194" s="74"/>
      <c r="G194" s="77"/>
      <c r="H194" s="85"/>
      <c r="I194" s="85"/>
      <c r="J194" s="85"/>
      <c r="K194" s="85"/>
      <c r="L194" s="85"/>
      <c r="M194" s="85"/>
      <c r="N194" s="85"/>
      <c r="O194" s="108">
        <v>16060587.710000001</v>
      </c>
      <c r="P194" s="85"/>
      <c r="Q194" s="131"/>
      <c r="R194" s="141"/>
    </row>
    <row r="195" spans="1:18" s="48" customFormat="1" ht="38.25">
      <c r="A195" s="93">
        <v>14</v>
      </c>
      <c r="B195" s="37" t="s">
        <v>70</v>
      </c>
      <c r="C195" s="29" t="s">
        <v>40</v>
      </c>
      <c r="D195" s="71"/>
      <c r="E195" s="74">
        <f>G195</f>
        <v>796821.6</v>
      </c>
      <c r="F195" s="74"/>
      <c r="G195" s="74">
        <v>796821.6</v>
      </c>
      <c r="H195" s="85"/>
      <c r="I195" s="85"/>
      <c r="J195" s="85"/>
      <c r="K195" s="85"/>
      <c r="L195" s="85"/>
      <c r="M195" s="85"/>
      <c r="N195" s="85"/>
      <c r="O195" s="108">
        <v>160577.1</v>
      </c>
      <c r="P195" s="85"/>
      <c r="Q195" s="131"/>
      <c r="R195" s="141"/>
    </row>
    <row r="196" spans="1:18" s="48" customFormat="1" ht="29.25" customHeight="1">
      <c r="A196" s="93">
        <v>15</v>
      </c>
      <c r="B196" s="38" t="s">
        <v>71</v>
      </c>
      <c r="C196" s="29" t="s">
        <v>40</v>
      </c>
      <c r="D196" s="71"/>
      <c r="E196" s="74">
        <f>G196</f>
        <v>1793340.43</v>
      </c>
      <c r="F196" s="74"/>
      <c r="G196" s="74">
        <v>1793340.43</v>
      </c>
      <c r="H196" s="85"/>
      <c r="I196" s="85"/>
      <c r="J196" s="85"/>
      <c r="K196" s="85"/>
      <c r="L196" s="85"/>
      <c r="M196" s="85"/>
      <c r="N196" s="85"/>
      <c r="O196" s="108">
        <v>289720.5</v>
      </c>
      <c r="P196" s="85"/>
      <c r="Q196" s="131"/>
      <c r="R196" s="141"/>
    </row>
    <row r="197" spans="1:18" s="48" customFormat="1" ht="18.75">
      <c r="A197" s="93">
        <v>16</v>
      </c>
      <c r="B197" s="24" t="s">
        <v>66</v>
      </c>
      <c r="C197" s="32" t="s">
        <v>23</v>
      </c>
      <c r="D197" s="71">
        <f>F197+H197</f>
        <v>1080911.82</v>
      </c>
      <c r="E197" s="71">
        <f>G197</f>
        <v>31428288.34</v>
      </c>
      <c r="F197" s="74">
        <v>1080911.82</v>
      </c>
      <c r="G197" s="72">
        <f>ROUND(F197*G5,2)</f>
        <v>31428288.34</v>
      </c>
      <c r="H197" s="85"/>
      <c r="I197" s="85"/>
      <c r="J197" s="85"/>
      <c r="K197" s="85"/>
      <c r="L197" s="85"/>
      <c r="M197" s="85"/>
      <c r="N197" s="85"/>
      <c r="O197" s="108">
        <v>647749.07999999996</v>
      </c>
      <c r="P197" s="85"/>
      <c r="Q197" s="131"/>
      <c r="R197" s="141"/>
    </row>
    <row r="198" spans="1:18" s="48" customFormat="1" ht="110.25" customHeight="1">
      <c r="A198" s="93">
        <v>17</v>
      </c>
      <c r="B198" s="24" t="s">
        <v>74</v>
      </c>
      <c r="C198" s="21" t="s">
        <v>23</v>
      </c>
      <c r="D198" s="71">
        <f>F198+H198+K198</f>
        <v>16751327.99</v>
      </c>
      <c r="E198" s="71">
        <f>G198+I198+K198</f>
        <v>257699507.09</v>
      </c>
      <c r="F198" s="86">
        <v>8582084.0099999998</v>
      </c>
      <c r="G198" s="72">
        <f>ROUND(F198*G5,2)</f>
        <v>249530263.11000001</v>
      </c>
      <c r="H198" s="85"/>
      <c r="I198" s="85"/>
      <c r="J198" s="86">
        <v>280964.46999999997</v>
      </c>
      <c r="K198" s="72">
        <f>ROUND(J198*G5,2)</f>
        <v>8169243.9800000004</v>
      </c>
      <c r="L198" s="85"/>
      <c r="M198" s="85"/>
      <c r="N198" s="85"/>
      <c r="O198" s="108">
        <v>22206089.620000001</v>
      </c>
      <c r="P198" s="85"/>
      <c r="Q198" s="131"/>
      <c r="R198" s="141"/>
    </row>
    <row r="199" spans="1:18" s="48" customFormat="1" ht="18.75">
      <c r="A199" s="93">
        <v>18</v>
      </c>
      <c r="B199" s="24" t="s">
        <v>67</v>
      </c>
      <c r="C199" s="23" t="s">
        <v>30</v>
      </c>
      <c r="D199" s="71">
        <f>F199+H199</f>
        <v>2059025.65</v>
      </c>
      <c r="E199" s="71">
        <f>G199</f>
        <v>53353223.5</v>
      </c>
      <c r="F199" s="74">
        <v>2059025.65</v>
      </c>
      <c r="G199" s="72">
        <f>ROUND(F199*G4,2)</f>
        <v>53353223.5</v>
      </c>
      <c r="H199" s="85"/>
      <c r="I199" s="85"/>
      <c r="J199" s="85"/>
      <c r="K199" s="85"/>
      <c r="L199" s="85"/>
      <c r="M199" s="85"/>
      <c r="N199" s="85"/>
      <c r="O199" s="108">
        <v>13090935.92</v>
      </c>
      <c r="P199" s="85"/>
      <c r="Q199" s="131"/>
      <c r="R199" s="141"/>
    </row>
    <row r="200" spans="1:18" s="48" customFormat="1" ht="18.75">
      <c r="A200" s="93">
        <v>19</v>
      </c>
      <c r="B200" s="22" t="s">
        <v>75</v>
      </c>
      <c r="C200" s="93" t="s">
        <v>23</v>
      </c>
      <c r="D200" s="71">
        <f>F200+H200+J200</f>
        <v>35374991.170000002</v>
      </c>
      <c r="E200" s="71">
        <f>G200+I200+K200</f>
        <v>1028553302.88</v>
      </c>
      <c r="F200" s="86">
        <v>34831151.93</v>
      </c>
      <c r="G200" s="72">
        <f>ROUND(F200*G5,2)</f>
        <v>1012740785.96</v>
      </c>
      <c r="H200" s="85"/>
      <c r="I200" s="85"/>
      <c r="J200" s="86">
        <v>543839.24</v>
      </c>
      <c r="K200" s="72">
        <f>ROUND(J200*G5,2)</f>
        <v>15812516.92</v>
      </c>
      <c r="L200" s="85"/>
      <c r="M200" s="85"/>
      <c r="N200" s="85"/>
      <c r="O200" s="108">
        <f>318422822.01+6368742.32</f>
        <v>324791564.32999998</v>
      </c>
      <c r="P200" s="85"/>
      <c r="Q200" s="131"/>
      <c r="R200" s="141"/>
    </row>
    <row r="201" spans="1:18" s="48" customFormat="1" ht="39" customHeight="1">
      <c r="A201" s="93">
        <v>20</v>
      </c>
      <c r="B201" s="20" t="s">
        <v>78</v>
      </c>
      <c r="C201" s="29" t="s">
        <v>30</v>
      </c>
      <c r="D201" s="71">
        <f t="shared" ref="D201:E204" si="14">F201</f>
        <v>51910.68</v>
      </c>
      <c r="E201" s="71">
        <f t="shared" si="14"/>
        <v>1345103.26</v>
      </c>
      <c r="F201" s="86">
        <v>51910.68</v>
      </c>
      <c r="G201" s="72">
        <f>ROUND(F201*G4,2)</f>
        <v>1345103.26</v>
      </c>
      <c r="H201" s="85"/>
      <c r="I201" s="85"/>
      <c r="J201" s="85"/>
      <c r="K201" s="85"/>
      <c r="L201" s="85"/>
      <c r="M201" s="85"/>
      <c r="N201" s="85"/>
      <c r="O201" s="108">
        <v>204474.5</v>
      </c>
      <c r="P201" s="85"/>
      <c r="Q201" s="131"/>
      <c r="R201" s="141"/>
    </row>
    <row r="202" spans="1:18" s="48" customFormat="1" ht="39" customHeight="1">
      <c r="A202" s="93">
        <v>21</v>
      </c>
      <c r="B202" s="20" t="s">
        <v>79</v>
      </c>
      <c r="C202" s="29" t="s">
        <v>30</v>
      </c>
      <c r="D202" s="71">
        <f t="shared" si="14"/>
        <v>877965.54</v>
      </c>
      <c r="E202" s="71">
        <f t="shared" si="14"/>
        <v>22749736.84</v>
      </c>
      <c r="F202" s="86">
        <v>877965.54</v>
      </c>
      <c r="G202" s="72">
        <f>ROUND(F202*G4,2)</f>
        <v>22749736.84</v>
      </c>
      <c r="H202" s="85"/>
      <c r="I202" s="85"/>
      <c r="J202" s="85"/>
      <c r="K202" s="85"/>
      <c r="L202" s="85"/>
      <c r="M202" s="85"/>
      <c r="N202" s="85"/>
      <c r="O202" s="72">
        <v>4813125.97</v>
      </c>
      <c r="P202" s="85"/>
      <c r="Q202" s="131"/>
      <c r="R202" s="141"/>
    </row>
    <row r="203" spans="1:18" s="48" customFormat="1" ht="39" customHeight="1">
      <c r="A203" s="93">
        <v>22</v>
      </c>
      <c r="B203" s="20" t="s">
        <v>131</v>
      </c>
      <c r="C203" s="29" t="s">
        <v>30</v>
      </c>
      <c r="D203" s="71">
        <f>F203</f>
        <v>149360.35999999999</v>
      </c>
      <c r="E203" s="71">
        <f>G203</f>
        <v>3870207.58</v>
      </c>
      <c r="F203" s="86">
        <v>149360.35999999999</v>
      </c>
      <c r="G203" s="72">
        <f>ROUND(F203*G4,2)</f>
        <v>3870207.58</v>
      </c>
      <c r="H203" s="85"/>
      <c r="I203" s="85"/>
      <c r="J203" s="85"/>
      <c r="K203" s="85"/>
      <c r="L203" s="85"/>
      <c r="M203" s="85"/>
      <c r="N203" s="85"/>
      <c r="O203" s="72">
        <v>1251832.7</v>
      </c>
      <c r="P203" s="85"/>
      <c r="Q203" s="131"/>
      <c r="R203" s="141"/>
    </row>
    <row r="204" spans="1:18" s="48" customFormat="1" ht="27.75" customHeight="1">
      <c r="A204" s="93">
        <v>23</v>
      </c>
      <c r="B204" s="24" t="s">
        <v>68</v>
      </c>
      <c r="C204" s="29" t="s">
        <v>30</v>
      </c>
      <c r="D204" s="71">
        <f t="shared" si="14"/>
        <v>38787004.579999998</v>
      </c>
      <c r="E204" s="71">
        <f t="shared" si="14"/>
        <v>1005044169.45</v>
      </c>
      <c r="F204" s="86">
        <v>38787004.579999998</v>
      </c>
      <c r="G204" s="72">
        <f>ROUND(F204*G4,2)</f>
        <v>1005044169.45</v>
      </c>
      <c r="H204" s="85"/>
      <c r="I204" s="85"/>
      <c r="J204" s="85"/>
      <c r="K204" s="85"/>
      <c r="L204" s="85"/>
      <c r="M204" s="85"/>
      <c r="N204" s="85"/>
      <c r="O204" s="72">
        <v>199955474.61000001</v>
      </c>
      <c r="P204" s="85"/>
      <c r="Q204" s="131"/>
      <c r="R204" s="141"/>
    </row>
    <row r="205" spans="1:18" s="48" customFormat="1" ht="18.75">
      <c r="A205" s="93">
        <v>24</v>
      </c>
      <c r="B205" s="22" t="s">
        <v>92</v>
      </c>
      <c r="C205" s="29" t="s">
        <v>30</v>
      </c>
      <c r="D205" s="71">
        <f>F205+H205</f>
        <v>75746.11</v>
      </c>
      <c r="E205" s="71">
        <f>G205+I205</f>
        <v>1962724.04</v>
      </c>
      <c r="F205" s="86"/>
      <c r="G205" s="72"/>
      <c r="H205" s="86">
        <v>75746.11</v>
      </c>
      <c r="I205" s="72">
        <f>ROUND(H205*G4,2)</f>
        <v>1962724.04</v>
      </c>
      <c r="J205" s="85"/>
      <c r="K205" s="85"/>
      <c r="L205" s="85"/>
      <c r="M205" s="85"/>
      <c r="N205" s="85"/>
      <c r="O205" s="72">
        <v>663159.05000000005</v>
      </c>
      <c r="P205" s="85"/>
      <c r="Q205" s="131"/>
      <c r="R205" s="141"/>
    </row>
    <row r="206" spans="1:18" s="48" customFormat="1" ht="18.75">
      <c r="A206" s="93">
        <v>25</v>
      </c>
      <c r="B206" s="98" t="s">
        <v>81</v>
      </c>
      <c r="C206" s="29" t="s">
        <v>30</v>
      </c>
      <c r="D206" s="71">
        <f>F206+H206</f>
        <v>383118.56</v>
      </c>
      <c r="E206" s="71">
        <f>G206+I206+K206</f>
        <v>9927321.7699999996</v>
      </c>
      <c r="F206" s="86">
        <v>180000</v>
      </c>
      <c r="G206" s="72">
        <f>ROUND(F206*G4,2)</f>
        <v>4664138.22</v>
      </c>
      <c r="H206" s="86">
        <v>203118.56</v>
      </c>
      <c r="I206" s="72">
        <f>ROUND(H206*G4,2)</f>
        <v>5263183.55</v>
      </c>
      <c r="J206" s="85"/>
      <c r="K206" s="85"/>
      <c r="L206" s="85"/>
      <c r="M206" s="85"/>
      <c r="N206" s="85"/>
      <c r="O206" s="72"/>
      <c r="P206" s="85"/>
      <c r="Q206" s="131"/>
      <c r="R206" s="141"/>
    </row>
    <row r="207" spans="1:18" s="48" customFormat="1" ht="18.75">
      <c r="A207" s="93">
        <v>26</v>
      </c>
      <c r="B207" s="22" t="s">
        <v>82</v>
      </c>
      <c r="C207" s="29" t="s">
        <v>30</v>
      </c>
      <c r="D207" s="71">
        <f>F207+H207+J207</f>
        <v>9525669.9900000002</v>
      </c>
      <c r="E207" s="71">
        <f>G207+I207+K207</f>
        <v>246828008.16999999</v>
      </c>
      <c r="F207" s="86">
        <v>4309731.03</v>
      </c>
      <c r="G207" s="72">
        <f>ROUND(F207*G4,2)</f>
        <v>111673228.97</v>
      </c>
      <c r="H207" s="86">
        <v>2945142.78</v>
      </c>
      <c r="I207" s="72">
        <f>ROUND(H207*G4,2)</f>
        <v>76314183.349999994</v>
      </c>
      <c r="J207" s="86">
        <v>2270796.1800000002</v>
      </c>
      <c r="K207" s="72">
        <f>ROUND(J207*G4,2)</f>
        <v>58840595.850000001</v>
      </c>
      <c r="L207" s="85"/>
      <c r="M207" s="85"/>
      <c r="N207" s="85"/>
      <c r="O207" s="72">
        <v>35489606.960000001</v>
      </c>
      <c r="P207" s="85"/>
      <c r="Q207" s="131"/>
      <c r="R207" s="141"/>
    </row>
    <row r="208" spans="1:18" s="48" customFormat="1" ht="38.25">
      <c r="A208" s="93">
        <v>27</v>
      </c>
      <c r="B208" s="34" t="s">
        <v>93</v>
      </c>
      <c r="C208" s="29" t="s">
        <v>30</v>
      </c>
      <c r="D208" s="71">
        <f>F208+H208+J208</f>
        <v>3741.48</v>
      </c>
      <c r="E208" s="71">
        <f>G208+I208+K208</f>
        <v>96948.77</v>
      </c>
      <c r="F208" s="86">
        <v>3640.75</v>
      </c>
      <c r="G208" s="72">
        <f>ROUND(F208*G4,2)</f>
        <v>94338.67</v>
      </c>
      <c r="H208" s="86">
        <v>98.91</v>
      </c>
      <c r="I208" s="72">
        <f>ROUND(H208*G4,2)</f>
        <v>2562.94</v>
      </c>
      <c r="J208" s="86">
        <v>1.82</v>
      </c>
      <c r="K208" s="72">
        <f>ROUND(J208*G4,2)</f>
        <v>47.16</v>
      </c>
      <c r="L208" s="85"/>
      <c r="M208" s="85"/>
      <c r="N208" s="85"/>
      <c r="O208" s="72">
        <v>8878.92</v>
      </c>
      <c r="P208" s="85"/>
      <c r="Q208" s="131"/>
      <c r="R208" s="141"/>
    </row>
    <row r="209" spans="1:21" ht="52.5" customHeight="1">
      <c r="A209" s="39" t="s">
        <v>83</v>
      </c>
      <c r="B209" s="24" t="s">
        <v>84</v>
      </c>
      <c r="C209" s="40" t="s">
        <v>23</v>
      </c>
      <c r="D209" s="71">
        <f t="shared" ref="D209:E210" si="15">F209</f>
        <v>3643897.15</v>
      </c>
      <c r="E209" s="71">
        <f t="shared" si="15"/>
        <v>105948929.59999999</v>
      </c>
      <c r="F209" s="86">
        <v>3643897.15</v>
      </c>
      <c r="G209" s="72">
        <f>ROUND(F209*G5,2)</f>
        <v>105948929.59999999</v>
      </c>
      <c r="H209" s="100" t="s">
        <v>94</v>
      </c>
      <c r="I209" s="72"/>
      <c r="J209" s="87"/>
      <c r="K209" s="100"/>
      <c r="L209" s="100"/>
      <c r="M209" s="100"/>
      <c r="N209" s="87"/>
      <c r="O209" s="72">
        <v>20153250.289999999</v>
      </c>
      <c r="P209" s="87"/>
      <c r="Q209" s="132"/>
    </row>
    <row r="210" spans="1:21" ht="90" customHeight="1">
      <c r="A210" s="39" t="s">
        <v>83</v>
      </c>
      <c r="B210" s="61" t="s">
        <v>111</v>
      </c>
      <c r="C210" s="154" t="s">
        <v>23</v>
      </c>
      <c r="D210" s="177">
        <f t="shared" si="15"/>
        <v>1355947.47</v>
      </c>
      <c r="E210" s="177">
        <f t="shared" si="15"/>
        <v>39425147.619999997</v>
      </c>
      <c r="F210" s="177">
        <v>1355947.47</v>
      </c>
      <c r="G210" s="177">
        <f>ROUND(F210*G5,2)</f>
        <v>39425147.619999997</v>
      </c>
      <c r="H210" s="100"/>
      <c r="I210" s="87"/>
      <c r="J210" s="87"/>
      <c r="K210" s="100"/>
      <c r="L210" s="100"/>
      <c r="M210" s="100"/>
      <c r="N210" s="87"/>
      <c r="O210" s="109">
        <v>13786427.66</v>
      </c>
      <c r="P210" s="87"/>
      <c r="Q210" s="132"/>
    </row>
    <row r="211" spans="1:21" ht="90" customHeight="1">
      <c r="A211" s="49" t="s">
        <v>83</v>
      </c>
      <c r="B211" s="27" t="s">
        <v>225</v>
      </c>
      <c r="C211" s="156"/>
      <c r="D211" s="178"/>
      <c r="E211" s="178"/>
      <c r="F211" s="178"/>
      <c r="G211" s="178"/>
      <c r="H211" s="100"/>
      <c r="I211" s="87"/>
      <c r="J211" s="87"/>
      <c r="K211" s="100"/>
      <c r="L211" s="100"/>
      <c r="M211" s="100"/>
      <c r="N211" s="87"/>
      <c r="O211" s="108">
        <v>14402241.08</v>
      </c>
      <c r="P211" s="87"/>
      <c r="Q211" s="132"/>
    </row>
    <row r="212" spans="1:21" ht="33.75" customHeight="1">
      <c r="A212" s="149" t="s">
        <v>83</v>
      </c>
      <c r="B212" s="115" t="s">
        <v>226</v>
      </c>
      <c r="C212" s="154" t="s">
        <v>40</v>
      </c>
      <c r="D212" s="157"/>
      <c r="E212" s="157">
        <f>G212</f>
        <v>8070058.4000000004</v>
      </c>
      <c r="F212" s="157"/>
      <c r="G212" s="157">
        <v>8070058.4000000004</v>
      </c>
      <c r="H212" s="161"/>
      <c r="I212" s="164"/>
      <c r="J212" s="164"/>
      <c r="K212" s="164"/>
      <c r="L212" s="88"/>
      <c r="M212" s="88"/>
      <c r="N212" s="88"/>
      <c r="O212" s="109">
        <v>3105593.02</v>
      </c>
      <c r="P212" s="88"/>
      <c r="Q212" s="132"/>
    </row>
    <row r="213" spans="1:21" ht="38.25">
      <c r="A213" s="150"/>
      <c r="B213" s="115" t="s">
        <v>227</v>
      </c>
      <c r="C213" s="155"/>
      <c r="D213" s="158"/>
      <c r="E213" s="158"/>
      <c r="F213" s="158"/>
      <c r="G213" s="158"/>
      <c r="H213" s="162"/>
      <c r="I213" s="165"/>
      <c r="J213" s="165"/>
      <c r="K213" s="165"/>
      <c r="L213" s="89"/>
      <c r="M213" s="89"/>
      <c r="N213" s="89"/>
      <c r="O213" s="112">
        <v>3231489.18</v>
      </c>
      <c r="P213" s="89"/>
      <c r="Q213" s="132"/>
    </row>
    <row r="214" spans="1:21" ht="51">
      <c r="A214" s="150"/>
      <c r="B214" s="116" t="s">
        <v>228</v>
      </c>
      <c r="C214" s="155"/>
      <c r="D214" s="158"/>
      <c r="E214" s="158"/>
      <c r="F214" s="158"/>
      <c r="G214" s="158"/>
      <c r="H214" s="162"/>
      <c r="I214" s="165"/>
      <c r="J214" s="165"/>
      <c r="K214" s="165"/>
      <c r="L214" s="89"/>
      <c r="M214" s="89"/>
      <c r="N214" s="89"/>
      <c r="O214" s="112">
        <v>3149171.34</v>
      </c>
      <c r="P214" s="89"/>
      <c r="Q214" s="132"/>
    </row>
    <row r="215" spans="1:21" ht="63" customHeight="1">
      <c r="A215" s="151"/>
      <c r="B215" s="116" t="s">
        <v>229</v>
      </c>
      <c r="C215" s="156"/>
      <c r="D215" s="159"/>
      <c r="E215" s="159"/>
      <c r="F215" s="159"/>
      <c r="G215" s="159"/>
      <c r="H215" s="163"/>
      <c r="I215" s="166"/>
      <c r="J215" s="166"/>
      <c r="K215" s="166"/>
      <c r="L215" s="100"/>
      <c r="M215" s="100"/>
      <c r="N215" s="100"/>
      <c r="O215" s="108">
        <v>2224878.48</v>
      </c>
      <c r="P215" s="100"/>
      <c r="Q215" s="132"/>
    </row>
    <row r="216" spans="1:21" ht="55.5" customHeight="1">
      <c r="A216" s="39" t="s">
        <v>83</v>
      </c>
      <c r="B216" s="24" t="s">
        <v>85</v>
      </c>
      <c r="C216" s="40" t="s">
        <v>23</v>
      </c>
      <c r="D216" s="90">
        <f>F216+H216</f>
        <v>2288720.9900000002</v>
      </c>
      <c r="E216" s="90">
        <f>G216</f>
        <v>66546208.369999997</v>
      </c>
      <c r="F216" s="71">
        <v>2288720.9900000002</v>
      </c>
      <c r="G216" s="107">
        <f>ROUND(F216*G5,2)</f>
        <v>66546208.369999997</v>
      </c>
      <c r="H216" s="100"/>
      <c r="I216" s="87"/>
      <c r="J216" s="87"/>
      <c r="K216" s="100"/>
      <c r="L216" s="100"/>
      <c r="M216" s="100"/>
      <c r="N216" s="87"/>
      <c r="O216" s="108">
        <v>7018311.3399999999</v>
      </c>
      <c r="P216" s="87"/>
      <c r="Q216" s="132"/>
    </row>
    <row r="217" spans="1:21" ht="51.75" customHeight="1">
      <c r="A217" s="41" t="s">
        <v>83</v>
      </c>
      <c r="B217" s="20" t="s">
        <v>86</v>
      </c>
      <c r="C217" s="40" t="s">
        <v>23</v>
      </c>
      <c r="D217" s="90">
        <f>F217</f>
        <v>3990620.06</v>
      </c>
      <c r="E217" s="90">
        <f>G217</f>
        <v>116030147.5</v>
      </c>
      <c r="F217" s="71">
        <v>3990620.06</v>
      </c>
      <c r="G217" s="107">
        <f>ROUND(F217*G5,2)</f>
        <v>116030147.5</v>
      </c>
      <c r="H217" s="100"/>
      <c r="I217" s="87"/>
      <c r="J217" s="87"/>
      <c r="K217" s="100"/>
      <c r="L217" s="100"/>
      <c r="M217" s="100"/>
      <c r="N217" s="87"/>
      <c r="O217" s="108">
        <v>9021661.3800000008</v>
      </c>
      <c r="P217" s="87"/>
      <c r="Q217" s="132"/>
    </row>
    <row r="218" spans="1:21" s="15" customFormat="1" ht="21" customHeight="1">
      <c r="A218" s="12" t="s">
        <v>7</v>
      </c>
      <c r="B218" s="12"/>
      <c r="C218" s="13"/>
      <c r="D218" s="14" t="s">
        <v>8</v>
      </c>
      <c r="E218" s="46">
        <f>SUM(E182:E208)</f>
        <v>6097527928.3000011</v>
      </c>
      <c r="F218" s="14" t="s">
        <v>8</v>
      </c>
      <c r="G218" s="46">
        <f>SUM(G182:G208)</f>
        <v>5931162870.5100012</v>
      </c>
      <c r="H218" s="14" t="s">
        <v>8</v>
      </c>
      <c r="I218" s="46">
        <f>SUM(I182:I208)</f>
        <v>83542653.879999995</v>
      </c>
      <c r="J218" s="14" t="s">
        <v>8</v>
      </c>
      <c r="K218" s="46">
        <f>SUM(K182:K208)</f>
        <v>82822403.909999996</v>
      </c>
      <c r="L218" s="46">
        <f>SUM(L182:L208)</f>
        <v>0</v>
      </c>
      <c r="M218" s="46">
        <f>SUM(M182:M208)</f>
        <v>0</v>
      </c>
      <c r="N218" s="46">
        <f>SUM(N182:N208)</f>
        <v>0</v>
      </c>
      <c r="O218" s="14" t="s">
        <v>8</v>
      </c>
      <c r="P218" s="46">
        <f>SUM(P182:P208)</f>
        <v>0</v>
      </c>
      <c r="Q218" s="133"/>
      <c r="R218" s="139"/>
    </row>
    <row r="219" spans="1:21" s="15" customFormat="1" ht="22.5" customHeight="1">
      <c r="A219" s="12" t="s">
        <v>10</v>
      </c>
      <c r="B219" s="12"/>
      <c r="C219" s="13"/>
      <c r="D219" s="14" t="s">
        <v>8</v>
      </c>
      <c r="E219" s="46">
        <f>E218+E180</f>
        <v>48487864680.689995</v>
      </c>
      <c r="F219" s="14" t="s">
        <v>8</v>
      </c>
      <c r="G219" s="46">
        <f>G218+G180</f>
        <v>48005825001.949989</v>
      </c>
      <c r="H219" s="14" t="s">
        <v>8</v>
      </c>
      <c r="I219" s="46">
        <f>I218+I180</f>
        <v>190731945.34999999</v>
      </c>
      <c r="J219" s="14" t="s">
        <v>8</v>
      </c>
      <c r="K219" s="46">
        <f>K218+K180</f>
        <v>291307733.38999999</v>
      </c>
      <c r="L219" s="46">
        <f>L218+L180</f>
        <v>3496450639.1700001</v>
      </c>
      <c r="M219" s="46">
        <f>M218+M180</f>
        <v>472387982.4799999</v>
      </c>
      <c r="N219" s="46">
        <f>N218+N180</f>
        <v>376022387.59999996</v>
      </c>
      <c r="O219" s="14" t="s">
        <v>8</v>
      </c>
      <c r="P219" s="46">
        <f>P218+P180</f>
        <v>1519756.0399999998</v>
      </c>
      <c r="Q219" s="133"/>
      <c r="R219" s="139"/>
    </row>
    <row r="221" spans="1:21">
      <c r="A221" s="160" t="s">
        <v>87</v>
      </c>
      <c r="B221" s="160"/>
      <c r="C221" s="160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</row>
    <row r="222" spans="1:21" s="42" customFormat="1" ht="14.25" customHeight="1">
      <c r="A222" s="117" t="s">
        <v>91</v>
      </c>
      <c r="B222" s="50"/>
      <c r="C222" s="50"/>
      <c r="D222" s="118"/>
      <c r="E222" s="118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1"/>
      <c r="Q222" s="134"/>
      <c r="R222" s="142"/>
      <c r="S222" s="50"/>
      <c r="T222" s="52" t="e">
        <f>E219+I219-M219+#REF!</f>
        <v>#REF!</v>
      </c>
      <c r="U222" s="53"/>
    </row>
    <row r="223" spans="1:21">
      <c r="A223" s="146" t="s">
        <v>222</v>
      </c>
      <c r="B223" s="146"/>
      <c r="C223" s="146"/>
      <c r="D223" s="146"/>
      <c r="E223" s="146">
        <f>G180+I180+K180</f>
        <v>42390336752.389992</v>
      </c>
      <c r="F223" s="146">
        <f>E223-E180</f>
        <v>0</v>
      </c>
      <c r="G223" s="146"/>
      <c r="H223" s="146"/>
      <c r="I223" s="146"/>
      <c r="J223" s="146"/>
      <c r="K223" s="146"/>
      <c r="L223" s="146"/>
      <c r="M223" s="146"/>
      <c r="N223" s="146"/>
      <c r="O223" s="146"/>
      <c r="P223" s="146"/>
      <c r="Q223" s="146"/>
      <c r="R223" s="146"/>
      <c r="S223" s="146"/>
      <c r="T223" s="146"/>
    </row>
    <row r="224" spans="1:21">
      <c r="E224" s="63">
        <f>G219+I219+K219</f>
        <v>48487864680.689987</v>
      </c>
      <c r="F224" s="65"/>
    </row>
    <row r="225" spans="5:6" ht="54" customHeight="1">
      <c r="E225" s="64">
        <f>E219-E224</f>
        <v>0</v>
      </c>
      <c r="F225" s="65"/>
    </row>
  </sheetData>
  <mergeCells count="85">
    <mergeCell ref="Q33:R33"/>
    <mergeCell ref="C26:C29"/>
    <mergeCell ref="D26:D29"/>
    <mergeCell ref="E26:E29"/>
    <mergeCell ref="F26:F29"/>
    <mergeCell ref="G26:G29"/>
    <mergeCell ref="H26:H29"/>
    <mergeCell ref="I26:I29"/>
    <mergeCell ref="J26:J29"/>
    <mergeCell ref="K26:K29"/>
    <mergeCell ref="O27:O29"/>
    <mergeCell ref="H14:I14"/>
    <mergeCell ref="J14:K14"/>
    <mergeCell ref="D15:D17"/>
    <mergeCell ref="E15:E17"/>
    <mergeCell ref="F15:F17"/>
    <mergeCell ref="G15:G17"/>
    <mergeCell ref="H15:H17"/>
    <mergeCell ref="J15:J17"/>
    <mergeCell ref="A7:K7"/>
    <mergeCell ref="A9:P9"/>
    <mergeCell ref="A13:A17"/>
    <mergeCell ref="B13:B17"/>
    <mergeCell ref="C13:C17"/>
    <mergeCell ref="D13:E14"/>
    <mergeCell ref="F13:K13"/>
    <mergeCell ref="O13:P14"/>
    <mergeCell ref="P15:P17"/>
    <mergeCell ref="A10:P10"/>
    <mergeCell ref="L13:N14"/>
    <mergeCell ref="L15:L17"/>
    <mergeCell ref="N15:N17"/>
    <mergeCell ref="M15:M17"/>
    <mergeCell ref="I15:I17"/>
    <mergeCell ref="F14:G14"/>
    <mergeCell ref="D210:D211"/>
    <mergeCell ref="E210:E211"/>
    <mergeCell ref="F210:F211"/>
    <mergeCell ref="G210:G211"/>
    <mergeCell ref="A30:A31"/>
    <mergeCell ref="C43:C44"/>
    <mergeCell ref="D43:D44"/>
    <mergeCell ref="E43:E44"/>
    <mergeCell ref="F43:F44"/>
    <mergeCell ref="B57:B58"/>
    <mergeCell ref="A181:P181"/>
    <mergeCell ref="A47:A48"/>
    <mergeCell ref="A57:A58"/>
    <mergeCell ref="A60:A61"/>
    <mergeCell ref="J43:J44"/>
    <mergeCell ref="K43:K44"/>
    <mergeCell ref="O15:O17"/>
    <mergeCell ref="K15:K17"/>
    <mergeCell ref="J51:J52"/>
    <mergeCell ref="K51:K52"/>
    <mergeCell ref="C51:C52"/>
    <mergeCell ref="D51:D52"/>
    <mergeCell ref="E51:E52"/>
    <mergeCell ref="F51:F52"/>
    <mergeCell ref="G51:G52"/>
    <mergeCell ref="A26:A29"/>
    <mergeCell ref="A43:A44"/>
    <mergeCell ref="A51:A52"/>
    <mergeCell ref="H51:H52"/>
    <mergeCell ref="I51:I52"/>
    <mergeCell ref="H43:H44"/>
    <mergeCell ref="G43:G44"/>
    <mergeCell ref="I43:I44"/>
    <mergeCell ref="B47:B48"/>
    <mergeCell ref="A160:A161"/>
    <mergeCell ref="A223:T223"/>
    <mergeCell ref="B160:B161"/>
    <mergeCell ref="A212:A215"/>
    <mergeCell ref="O84:O85"/>
    <mergeCell ref="C212:C215"/>
    <mergeCell ref="D212:D215"/>
    <mergeCell ref="E212:E215"/>
    <mergeCell ref="F212:F215"/>
    <mergeCell ref="G212:G215"/>
    <mergeCell ref="A221:T221"/>
    <mergeCell ref="H212:H215"/>
    <mergeCell ref="I212:I215"/>
    <mergeCell ref="J212:J215"/>
    <mergeCell ref="K212:K215"/>
    <mergeCell ref="C210:C211"/>
  </mergeCells>
  <printOptions horizontalCentered="1"/>
  <pageMargins left="0.23622047244094491" right="0.19685039370078741" top="0.6692913385826772" bottom="0.23622047244094491" header="0.47244094488188981" footer="0"/>
  <pageSetup paperSize="9" scale="60" fitToHeight="8" orientation="landscape" r:id="rId1"/>
  <headerFooter>
    <oddHeader>&amp;R&amp;P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ІІІ кв_2016</vt:lpstr>
      <vt:lpstr>'ІІІ кв_2016'!Заголовки_для_печати</vt:lpstr>
      <vt:lpstr>'ІІІ кв_2016'!Область_печати</vt:lpstr>
    </vt:vector>
  </TitlesOfParts>
  <Company>DKU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j_klymchuk</dc:creator>
  <cp:lastModifiedBy>g_</cp:lastModifiedBy>
  <cp:lastPrinted>2016-11-03T13:41:04Z</cp:lastPrinted>
  <dcterms:created xsi:type="dcterms:W3CDTF">2016-02-25T14:42:35Z</dcterms:created>
  <dcterms:modified xsi:type="dcterms:W3CDTF">2016-11-04T07:21:08Z</dcterms:modified>
</cp:coreProperties>
</file>